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S:\Secured\RATES\Rates Common\SPP\SPP Transmission Formula Rate\Annual Update - FY2022 data\Feb 1 Submission\Files to post to OASIS &amp; CU Website\"/>
    </mc:Choice>
  </mc:AlternateContent>
  <xr:revisionPtr revIDLastSave="0" documentId="8_{ADF02516-BAD3-4511-875B-1679DBAC2475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definedNames>
    <definedName name="APN">Sheet1!#REF!</definedName>
    <definedName name="ASD">Sheet1!$Y$3</definedName>
    <definedName name="BTU_Gen_CM">Sheet1!$B$34</definedName>
    <definedName name="BTU_Gen_FYTD">Sheet1!$I$34</definedName>
    <definedName name="BTU_Gen_MO12_Chg_LY">Sheet1!$S$34</definedName>
    <definedName name="BTU_Gen_MO12_Chg_TY">Sheet1!$Q$34</definedName>
    <definedName name="BTU_Gen_PYCM">Sheet1!$D$34</definedName>
    <definedName name="BTU_Gen_PYTD">Sheet1!$K$34</definedName>
    <definedName name="Cap_Trans_CM">Sheet1!$B$17</definedName>
    <definedName name="Cap_Trans_FYTD">Sheet1!$I$17</definedName>
    <definedName name="Cap_Trans_MO12_Chg_LY">Sheet1!$S$17</definedName>
    <definedName name="Cap_Trans_MO12_Chg_TY">Sheet1!$Q$17</definedName>
    <definedName name="Cap_Trans_PYCM">Sheet1!$D$17</definedName>
    <definedName name="Cap_Trans_PYTD">Sheet1!$K$17</definedName>
    <definedName name="CDD_ACT_CM">Sheet1!$B$32</definedName>
    <definedName name="CDD_ACT_FYTD">Sheet1!$I$32</definedName>
    <definedName name="CDD_ACT_MO12_Chg_LY">Sheet1!$S$32</definedName>
    <definedName name="CDD_ACT_MO12_Chg_TY">Sheet1!$Q$32</definedName>
    <definedName name="CDD_ACT_PYCM">Sheet1!$D$32</definedName>
    <definedName name="CDD_ACT_PYTD">Sheet1!$K$32</definedName>
    <definedName name="CDD_Norm_CM">Sheet1!$B$33</definedName>
    <definedName name="CDD_Norm_FYTD">Sheet1!$I$33</definedName>
    <definedName name="CDD_Norm_MO12_Chg_LY">Sheet1!$S$33</definedName>
    <definedName name="CDD_Norm_MO12_Chg_TY">Sheet1!$Q$33</definedName>
    <definedName name="CDD_Norm_PYCM">Sheet1!$D$33</definedName>
    <definedName name="CDD_Norm_PYTD">Sheet1!$K$33</definedName>
    <definedName name="FACCOUNT_V036130">Sheet1!$B$37</definedName>
    <definedName name="Fiscal_Year">Sheet1!$Y$5</definedName>
    <definedName name="FUEL_ADJ_RATE_CM">Sheet1!$B$37</definedName>
    <definedName name="Load_Fact_CM">Sheet1!$B$31</definedName>
    <definedName name="Load_Fact_FYTD">Sheet1!$I$31</definedName>
    <definedName name="Load_Fact_MO12_Chg_LY">Sheet1!$S$31</definedName>
    <definedName name="Load_Fact_MO12_Chg_TY">Sheet1!$Q$31</definedName>
    <definedName name="Load_Fact_PYCM">Sheet1!$D$31</definedName>
    <definedName name="Load_Fact_PYTD">Sheet1!$K$31</definedName>
    <definedName name="NvsASD">"V2022-09-30"</definedName>
    <definedName name="NvsAutoDrillOk">"VN"</definedName>
    <definedName name="NvsDrillHyperLink" localSheetId="0">"https://finprd.cityutil.com/psp/finprd_newwin/EMPLOYEE/ERP/c/REPORT_BOOKS.IC_RUN_DRILLDOWN.GBL?Action=A&amp;NVS_INSTANCE=5440165_4430848"</definedName>
    <definedName name="NvsElapsedTime">0.0000694444461259991</definedName>
    <definedName name="NvsEndTime">44869.3324305556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"V1960-01-01"</definedName>
    <definedName name="NvsPanelSetid">"VCU"</definedName>
    <definedName name="NvsReqBU">"VCU"</definedName>
    <definedName name="NvsReqBUOnly">"VY"</definedName>
    <definedName name="NvsSheetType" localSheetId="0">"M"</definedName>
    <definedName name="NvsTransLed">"VN"</definedName>
    <definedName name="NvsTreeASD">"V2022-09-30"</definedName>
    <definedName name="NvsValTbl.ACCOUNT">"GL_ACCOUNT_TBL"</definedName>
    <definedName name="NvsValTbl.PRODUCT">"PRODUCT_TBL"</definedName>
    <definedName name="Over_Under_CM">Sheet1!$B$41</definedName>
    <definedName name="Over_Under_FYTD">Sheet1!$I$41</definedName>
    <definedName name="Over_Under_MO12_Chg_LY">Sheet1!$S$41</definedName>
    <definedName name="Over_Under_MO12_Chg_TY">Sheet1!$Q$41</definedName>
    <definedName name="Over_Under_PYCM">Sheet1!$D$41</definedName>
    <definedName name="Over_Under_PYTD">Sheet1!$K$41</definedName>
    <definedName name="PER">Sheet1!$Y$4</definedName>
    <definedName name="_xlnm.Print_Area" localSheetId="0">Sheet1!$A$1:$W$57</definedName>
    <definedName name="Tot_Cust_CM">Sheet1!$B$13</definedName>
    <definedName name="Tot_Cust_FYTD">Sheet1!$I$13</definedName>
    <definedName name="Tot_Cust_MO12_Chg_LY">Sheet1!$S$13</definedName>
    <definedName name="Tot_Cust_MO12_Chg_TY">Sheet1!$Q$13</definedName>
    <definedName name="Tot_Cust_PYCM">Sheet1!$D$13</definedName>
    <definedName name="Tot_Cust_PYTD">Sheet1!$K$13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5" i="1" l="1"/>
  <c r="Q185" i="1"/>
  <c r="M185" i="1"/>
  <c r="K185" i="1"/>
  <c r="I185" i="1"/>
  <c r="F185" i="1"/>
  <c r="D185" i="1"/>
  <c r="B185" i="1"/>
  <c r="D173" i="1"/>
  <c r="B173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D163" i="1"/>
  <c r="B163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S163" i="1" s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D153" i="1"/>
  <c r="B153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D143" i="1"/>
  <c r="B143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Q143" i="1" s="1"/>
  <c r="S135" i="1"/>
  <c r="Q135" i="1"/>
  <c r="K135" i="1"/>
  <c r="I135" i="1"/>
  <c r="D135" i="1"/>
  <c r="B135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D129" i="1"/>
  <c r="D179" i="1" s="1"/>
  <c r="D34" i="1" s="1"/>
  <c r="B129" i="1"/>
  <c r="B179" i="1" s="1"/>
  <c r="B34" i="1" s="1"/>
  <c r="F34" i="1" s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Q129" i="1" s="1"/>
  <c r="U126" i="1"/>
  <c r="F126" i="1"/>
  <c r="U125" i="1"/>
  <c r="F125" i="1"/>
  <c r="I120" i="1"/>
  <c r="S114" i="1"/>
  <c r="Q114" i="1"/>
  <c r="K114" i="1"/>
  <c r="K12" i="1" s="1"/>
  <c r="I114" i="1"/>
  <c r="D114" i="1"/>
  <c r="B114" i="1"/>
  <c r="S104" i="1"/>
  <c r="I102" i="1"/>
  <c r="I104" i="1" s="1"/>
  <c r="I98" i="1"/>
  <c r="Q98" i="1" s="1"/>
  <c r="K97" i="1"/>
  <c r="I97" i="1"/>
  <c r="U94" i="1"/>
  <c r="M94" i="1"/>
  <c r="F94" i="1"/>
  <c r="F93" i="1"/>
  <c r="S92" i="1"/>
  <c r="S95" i="1" s="1"/>
  <c r="Q92" i="1"/>
  <c r="Q95" i="1" s="1"/>
  <c r="K92" i="1"/>
  <c r="K95" i="1" s="1"/>
  <c r="I92" i="1"/>
  <c r="I95" i="1" s="1"/>
  <c r="F92" i="1"/>
  <c r="D92" i="1"/>
  <c r="D95" i="1" s="1"/>
  <c r="B92" i="1"/>
  <c r="B95" i="1" s="1"/>
  <c r="U91" i="1"/>
  <c r="M91" i="1"/>
  <c r="F91" i="1"/>
  <c r="U90" i="1"/>
  <c r="M90" i="1"/>
  <c r="F90" i="1"/>
  <c r="U89" i="1"/>
  <c r="M89" i="1"/>
  <c r="M95" i="1" s="1"/>
  <c r="F89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I75" i="1"/>
  <c r="K172" i="1" s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I65" i="1"/>
  <c r="K68" i="1" s="1"/>
  <c r="U53" i="1"/>
  <c r="M53" i="1"/>
  <c r="U52" i="1"/>
  <c r="M52" i="1"/>
  <c r="U51" i="1"/>
  <c r="M51" i="1"/>
  <c r="U50" i="1"/>
  <c r="M50" i="1"/>
  <c r="F50" i="1"/>
  <c r="U49" i="1"/>
  <c r="M49" i="1"/>
  <c r="F49" i="1"/>
  <c r="U48" i="1"/>
  <c r="M48" i="1"/>
  <c r="F48" i="1"/>
  <c r="U46" i="1"/>
  <c r="M46" i="1"/>
  <c r="O46" i="1" s="1"/>
  <c r="F46" i="1"/>
  <c r="S44" i="1"/>
  <c r="Q44" i="1"/>
  <c r="D44" i="1"/>
  <c r="B44" i="1"/>
  <c r="F44" i="1" s="1"/>
  <c r="U41" i="1"/>
  <c r="M41" i="1"/>
  <c r="O41" i="1" s="1"/>
  <c r="F41" i="1"/>
  <c r="S40" i="1"/>
  <c r="Q40" i="1"/>
  <c r="U40" i="1" s="1"/>
  <c r="K40" i="1"/>
  <c r="I40" i="1"/>
  <c r="D40" i="1"/>
  <c r="F40" i="1" s="1"/>
  <c r="B40" i="1"/>
  <c r="U39" i="1"/>
  <c r="M39" i="1"/>
  <c r="O39" i="1" s="1"/>
  <c r="F39" i="1"/>
  <c r="U38" i="1"/>
  <c r="M38" i="1"/>
  <c r="O38" i="1" s="1"/>
  <c r="F38" i="1"/>
  <c r="U37" i="1"/>
  <c r="M37" i="1"/>
  <c r="O37" i="1" s="1"/>
  <c r="F37" i="1"/>
  <c r="U33" i="1"/>
  <c r="M33" i="1"/>
  <c r="O33" i="1" s="1"/>
  <c r="F33" i="1"/>
  <c r="U32" i="1"/>
  <c r="M32" i="1"/>
  <c r="O32" i="1" s="1"/>
  <c r="F32" i="1"/>
  <c r="S30" i="1"/>
  <c r="Q30" i="1"/>
  <c r="Q85" i="1" s="1"/>
  <c r="D30" i="1"/>
  <c r="D85" i="1" s="1"/>
  <c r="B30" i="1"/>
  <c r="F30" i="1" s="1"/>
  <c r="S28" i="1"/>
  <c r="Q28" i="1"/>
  <c r="K28" i="1"/>
  <c r="I28" i="1"/>
  <c r="D28" i="1"/>
  <c r="B28" i="1"/>
  <c r="F28" i="1" s="1"/>
  <c r="U27" i="1"/>
  <c r="O27" i="1"/>
  <c r="M27" i="1"/>
  <c r="F27" i="1"/>
  <c r="U26" i="1"/>
  <c r="M26" i="1"/>
  <c r="O26" i="1" s="1"/>
  <c r="F26" i="1"/>
  <c r="U25" i="1"/>
  <c r="O25" i="1"/>
  <c r="M25" i="1"/>
  <c r="F25" i="1"/>
  <c r="S23" i="1"/>
  <c r="Q23" i="1"/>
  <c r="K23" i="1"/>
  <c r="M23" i="1" s="1"/>
  <c r="O23" i="1" s="1"/>
  <c r="I23" i="1"/>
  <c r="D23" i="1"/>
  <c r="B23" i="1"/>
  <c r="F23" i="1" s="1"/>
  <c r="U22" i="1"/>
  <c r="M22" i="1"/>
  <c r="O22" i="1" s="1"/>
  <c r="F22" i="1"/>
  <c r="U21" i="1"/>
  <c r="M21" i="1"/>
  <c r="O21" i="1" s="1"/>
  <c r="F21" i="1"/>
  <c r="U19" i="1"/>
  <c r="M19" i="1"/>
  <c r="O19" i="1" s="1"/>
  <c r="F19" i="1"/>
  <c r="S17" i="1"/>
  <c r="Q17" i="1"/>
  <c r="K17" i="1"/>
  <c r="I17" i="1"/>
  <c r="M17" i="1" s="1"/>
  <c r="O17" i="1" s="1"/>
  <c r="D17" i="1"/>
  <c r="B17" i="1"/>
  <c r="F17" i="1" s="1"/>
  <c r="U16" i="1"/>
  <c r="M16" i="1"/>
  <c r="F16" i="1"/>
  <c r="U15" i="1"/>
  <c r="M15" i="1"/>
  <c r="O15" i="1" s="1"/>
  <c r="F15" i="1"/>
  <c r="U13" i="1"/>
  <c r="M13" i="1"/>
  <c r="O13" i="1" s="1"/>
  <c r="F13" i="1"/>
  <c r="S12" i="1"/>
  <c r="Q12" i="1"/>
  <c r="I12" i="1"/>
  <c r="D12" i="1"/>
  <c r="B12" i="1"/>
  <c r="F12" i="1" s="1"/>
  <c r="U11" i="1"/>
  <c r="M11" i="1"/>
  <c r="O11" i="1" s="1"/>
  <c r="F11" i="1"/>
  <c r="U10" i="1"/>
  <c r="M10" i="1"/>
  <c r="O10" i="1" s="1"/>
  <c r="F10" i="1"/>
  <c r="U9" i="1"/>
  <c r="M9" i="1"/>
  <c r="O9" i="1" s="1"/>
  <c r="F9" i="1"/>
  <c r="Q6" i="1"/>
  <c r="I6" i="1"/>
  <c r="B6" i="1"/>
  <c r="Y2" i="1"/>
  <c r="W2" i="1" s="1"/>
  <c r="F95" i="1" l="1"/>
  <c r="U28" i="1"/>
  <c r="U95" i="1"/>
  <c r="Q153" i="1"/>
  <c r="Q179" i="1" s="1"/>
  <c r="Q34" i="1" s="1"/>
  <c r="U34" i="1" s="1"/>
  <c r="M40" i="1"/>
  <c r="O40" i="1" s="1"/>
  <c r="K67" i="1"/>
  <c r="K69" i="1" s="1"/>
  <c r="K30" i="1" s="1"/>
  <c r="K85" i="1" s="1"/>
  <c r="S129" i="1"/>
  <c r="S179" i="1" s="1"/>
  <c r="S34" i="1" s="1"/>
  <c r="S143" i="1"/>
  <c r="Q163" i="1"/>
  <c r="S173" i="1"/>
  <c r="M12" i="1"/>
  <c r="O12" i="1" s="1"/>
  <c r="U30" i="1"/>
  <c r="U44" i="1"/>
  <c r="S153" i="1"/>
  <c r="Q173" i="1"/>
  <c r="U12" i="1"/>
  <c r="U17" i="1"/>
  <c r="U23" i="1"/>
  <c r="M28" i="1"/>
  <c r="O28" i="1" s="1"/>
  <c r="I77" i="1"/>
  <c r="Q97" i="1"/>
  <c r="Q86" i="1" s="1"/>
  <c r="S98" i="1"/>
  <c r="I67" i="1"/>
  <c r="K78" i="1"/>
  <c r="B85" i="1"/>
  <c r="I86" i="1"/>
  <c r="M92" i="1"/>
  <c r="I105" i="1"/>
  <c r="I106" i="1" s="1"/>
  <c r="K106" i="1" s="1"/>
  <c r="I128" i="1"/>
  <c r="I133" i="1"/>
  <c r="I142" i="1"/>
  <c r="I151" i="1"/>
  <c r="I162" i="1"/>
  <c r="I171" i="1"/>
  <c r="S85" i="1"/>
  <c r="K128" i="1"/>
  <c r="K133" i="1"/>
  <c r="K142" i="1"/>
  <c r="K151" i="1"/>
  <c r="K162" i="1"/>
  <c r="K171" i="1"/>
  <c r="K173" i="1" s="1"/>
  <c r="I68" i="1"/>
  <c r="K77" i="1"/>
  <c r="B86" i="1"/>
  <c r="B31" i="1" s="1"/>
  <c r="K98" i="1"/>
  <c r="I127" i="1"/>
  <c r="I134" i="1"/>
  <c r="I141" i="1"/>
  <c r="I152" i="1"/>
  <c r="I161" i="1"/>
  <c r="I172" i="1"/>
  <c r="I78" i="1"/>
  <c r="I79" i="1" s="1"/>
  <c r="I44" i="1" s="1"/>
  <c r="U92" i="1"/>
  <c r="K127" i="1"/>
  <c r="K134" i="1"/>
  <c r="K141" i="1"/>
  <c r="K152" i="1"/>
  <c r="K161" i="1"/>
  <c r="K79" i="1" l="1"/>
  <c r="K44" i="1" s="1"/>
  <c r="M44" i="1" s="1"/>
  <c r="O44" i="1" s="1"/>
  <c r="K143" i="1"/>
  <c r="I143" i="1"/>
  <c r="Q31" i="1"/>
  <c r="Q87" i="1"/>
  <c r="D86" i="1"/>
  <c r="K86" i="1"/>
  <c r="I173" i="1"/>
  <c r="B87" i="1"/>
  <c r="K153" i="1"/>
  <c r="I153" i="1"/>
  <c r="J79" i="1"/>
  <c r="K163" i="1"/>
  <c r="K129" i="1"/>
  <c r="K179" i="1" s="1"/>
  <c r="K34" i="1" s="1"/>
  <c r="I163" i="1"/>
  <c r="I129" i="1"/>
  <c r="J69" i="1"/>
  <c r="I69" i="1"/>
  <c r="I30" i="1" s="1"/>
  <c r="S97" i="1"/>
  <c r="S86" i="1" s="1"/>
  <c r="S31" i="1" l="1"/>
  <c r="S87" i="1"/>
  <c r="I179" i="1"/>
  <c r="I34" i="1" s="1"/>
  <c r="M34" i="1" s="1"/>
  <c r="O34" i="1" s="1"/>
  <c r="D87" i="1"/>
  <c r="D31" i="1"/>
  <c r="F31" i="1" s="1"/>
  <c r="I85" i="1"/>
  <c r="I87" i="1" s="1"/>
  <c r="M30" i="1"/>
  <c r="O30" i="1" s="1"/>
  <c r="U31" i="1"/>
  <c r="K31" i="1"/>
  <c r="K87" i="1"/>
  <c r="I31" i="1"/>
  <c r="M31" i="1" s="1"/>
  <c r="O31" i="1" s="1"/>
</calcChain>
</file>

<file path=xl/sharedStrings.xml><?xml version="1.0" encoding="utf-8"?>
<sst xmlns="http://schemas.openxmlformats.org/spreadsheetml/2006/main" count="222" uniqueCount="187">
  <si>
    <t>Form 441B</t>
  </si>
  <si>
    <t>City Utilities of Springfield</t>
  </si>
  <si>
    <t>Electric Statistics</t>
  </si>
  <si>
    <t>This Year</t>
  </si>
  <si>
    <t>Last Year</t>
  </si>
  <si>
    <t>Notes</t>
  </si>
  <si>
    <t>New Meter Sets Connected</t>
  </si>
  <si>
    <t>Total Customers Connected/Disconnected</t>
  </si>
  <si>
    <t>Total Customers</t>
  </si>
  <si>
    <t>Street Lights in Service</t>
  </si>
  <si>
    <t>Miles of Underground Distribution Line</t>
  </si>
  <si>
    <t>Miles of Overhead Distribution Line</t>
  </si>
  <si>
    <t>Total Miles of Distribution Line</t>
  </si>
  <si>
    <t>Maximum Hourly Peak Load Used</t>
  </si>
  <si>
    <t>Load Factor Percent</t>
  </si>
  <si>
    <t xml:space="preserve">   Adjustment Mills per kWh</t>
  </si>
  <si>
    <t xml:space="preserve">   Amount in Base Rate Mills per kWh</t>
  </si>
  <si>
    <t xml:space="preserve">   Fuel Adjustment Recovery (Over) Under</t>
  </si>
  <si>
    <t>Maximum Peak Load Generated/Gross</t>
  </si>
  <si>
    <t>Generating Capacity - kW</t>
  </si>
  <si>
    <t>SWPA Contract - kW</t>
  </si>
  <si>
    <t>%,FCURRENCY_CD,VUSD,V,FPRODUCT,TBUS_ENTITY,NELECTRIC</t>
  </si>
  <si>
    <t>JR Natl Gas</t>
  </si>
  <si>
    <t>JR Coal Tons Burned</t>
  </si>
  <si>
    <t>JR BTU/KWH Gen - Coal</t>
  </si>
  <si>
    <t>MAG Fuel Oil Burned</t>
  </si>
  <si>
    <t>MAG BTU/KWH Gen - Fuel Oil</t>
  </si>
  <si>
    <t>SW Natl Gas</t>
  </si>
  <si>
    <t>SW Coal Ton Burned</t>
  </si>
  <si>
    <t>SW Coal BTU</t>
  </si>
  <si>
    <t>SW BTU/KWH Gen - Coal</t>
  </si>
  <si>
    <t>SWGT Natl Gas</t>
  </si>
  <si>
    <t>SWGT Fuel Oil Burned</t>
  </si>
  <si>
    <t>SWGT Fuel Oil BTU</t>
  </si>
  <si>
    <t>SWGT BTU/KWH Gen - Fuel Oil</t>
  </si>
  <si>
    <t>JRGT - Natl Gas</t>
  </si>
  <si>
    <t>JRGT Fuel Oil Burned</t>
  </si>
  <si>
    <t>JRGT Fuel Oil BTU</t>
  </si>
  <si>
    <t>MGS - Natl Gas</t>
  </si>
  <si>
    <t>Sum</t>
  </si>
  <si>
    <t>Net Generated</t>
  </si>
  <si>
    <t>Gross Generated</t>
  </si>
  <si>
    <t xml:space="preserve">Note:  Prior to CISPlus the information below was loaded to stat account 036220 </t>
  </si>
  <si>
    <t>Fuel And Purchased Power:</t>
  </si>
  <si>
    <t>Transformers in Service</t>
  </si>
  <si>
    <t>Read and Change Name</t>
  </si>
  <si>
    <t>BTU per KWh Net Generated</t>
  </si>
  <si>
    <t>Number of hours in period</t>
  </si>
  <si>
    <t>Max Hourly Peak  X  # of hours in period</t>
  </si>
  <si>
    <t>Purchased Power:</t>
  </si>
  <si>
    <t>Change</t>
  </si>
  <si>
    <t>Number of Electric Customers</t>
  </si>
  <si>
    <t xml:space="preserve">   This Year</t>
  </si>
  <si>
    <t xml:space="preserve">   Last Year</t>
  </si>
  <si>
    <t xml:space="preserve">      Net Gain in Customers</t>
  </si>
  <si>
    <t>Change from</t>
  </si>
  <si>
    <t>%</t>
  </si>
  <si>
    <t>Cooling Degree Days - Actual</t>
  </si>
  <si>
    <t>Cooling Degree Days - Normal</t>
  </si>
  <si>
    <t>Number of Days Fiscal Year To Date</t>
  </si>
  <si>
    <t xml:space="preserve">   October - March</t>
  </si>
  <si>
    <t xml:space="preserve">   April - September</t>
  </si>
  <si>
    <t>Net Gain (Loss) in Customers</t>
  </si>
  <si>
    <t>Load Factor Calculation</t>
  </si>
  <si>
    <t>Fiscal Year To Date Through</t>
  </si>
  <si>
    <t>If current month is:</t>
  </si>
  <si>
    <t xml:space="preserve">      October - March</t>
  </si>
  <si>
    <t xml:space="preserve">      April - September</t>
  </si>
  <si>
    <t>Maximum during period</t>
  </si>
  <si>
    <t>JR Propane Average BTU</t>
  </si>
  <si>
    <t>JR Average BTU per pound</t>
  </si>
  <si>
    <t>FYTD:  If October - March</t>
  </si>
  <si>
    <t xml:space="preserve">              If April - September</t>
  </si>
  <si>
    <t>MAG Fuel Oil Average BTU</t>
  </si>
  <si>
    <t>JRGT BTU/KWH Gen - Fuel Oil</t>
  </si>
  <si>
    <t>kVA Capacity of Transformers</t>
  </si>
  <si>
    <t>%,LSTATS,SFYTD</t>
  </si>
  <si>
    <t>%,LSTATS,SFYTD-1YR</t>
  </si>
  <si>
    <t>%,LSTATS,SPER</t>
  </si>
  <si>
    <t>%,LSTATS,SPER-1</t>
  </si>
  <si>
    <t>%,LSTATS,SPER-2</t>
  </si>
  <si>
    <t>%,LSTATS,SPER-3</t>
  </si>
  <si>
    <t>%,LSTATS,SPER-4</t>
  </si>
  <si>
    <t>%,LSTATS,SPER-5</t>
  </si>
  <si>
    <t>%,LSTATS,SPER-6</t>
  </si>
  <si>
    <t>%,LSTATS,SPER-7</t>
  </si>
  <si>
    <t>%,LSTATS,SPER-8</t>
  </si>
  <si>
    <t>%,LSTATS,SPER-9</t>
  </si>
  <si>
    <t>%,LSTATS,SPER-10</t>
  </si>
  <si>
    <t>%,LSTATS,SPER-11</t>
  </si>
  <si>
    <t>%,LSTATS,SPER-12</t>
  </si>
  <si>
    <t>%,LSTATS,SPER-13</t>
  </si>
  <si>
    <t>%,LSTATS,SPER-14</t>
  </si>
  <si>
    <t>%,LSTATS,SPER-15</t>
  </si>
  <si>
    <t>%,LSTATS,SPER-16</t>
  </si>
  <si>
    <t>%,LSTATS,SPER-17</t>
  </si>
  <si>
    <t>%,LSTATS,SPER-18</t>
  </si>
  <si>
    <t>%,LSTATS,SPER-19</t>
  </si>
  <si>
    <t>%,LSTATS,SPER-20</t>
  </si>
  <si>
    <t>%,LSTATS,SPER-21</t>
  </si>
  <si>
    <t>%,LSTATS,SPER-22</t>
  </si>
  <si>
    <t>%,LSTATS,SPER-23</t>
  </si>
  <si>
    <t>%,FACCOUNT,V036020</t>
  </si>
  <si>
    <t>%,FACCOUNT,V036030</t>
  </si>
  <si>
    <t>%,FACCOUNT,V036040</t>
  </si>
  <si>
    <t>%,FACCOUNT,V036050</t>
  </si>
  <si>
    <t>%,FACCOUNT,V036060</t>
  </si>
  <si>
    <t>%,FACCOUNT,V036070</t>
  </si>
  <si>
    <t>%,FACCOUNT,V036080</t>
  </si>
  <si>
    <t>%,FACCOUNT,V036340</t>
  </si>
  <si>
    <t>%,FACCOUNT,V036330</t>
  </si>
  <si>
    <t>%,FACCOUNT,V036100</t>
  </si>
  <si>
    <t>%,FACCOUNT,V036120</t>
  </si>
  <si>
    <t>%,FACCOUNT,V036260</t>
  </si>
  <si>
    <t>%,FACCOUNT,V036130</t>
  </si>
  <si>
    <t>%,FACCOUNT,V036230</t>
  </si>
  <si>
    <t>%,FACCOUNT,V036150</t>
  </si>
  <si>
    <t>%,FACCOUNT,V036190</t>
  </si>
  <si>
    <t>%,FACCOUNT,V036200</t>
  </si>
  <si>
    <t>%,FACCOUNT,V03301A,V03302A,V03303A,V03304A,V03305A,V03306A</t>
  </si>
  <si>
    <t>%,FACCOUNT,TDFS_ACCOUNT,NRESALE</t>
  </si>
  <si>
    <t>%,LSTATS,FACCOUNT,V03111A</t>
  </si>
  <si>
    <t>%,LSTATS,R,FACCOUNT,V03113C</t>
  </si>
  <si>
    <t>%,LSTATS,FACCOUNT,V032130</t>
  </si>
  <si>
    <t>%,LSTATS,R,FACCOUNT,V03112C</t>
  </si>
  <si>
    <t>%,LSTATS,R,FACCOUNT,V03124C</t>
  </si>
  <si>
    <t>%,LSTATS,FACCOUNT,V032240</t>
  </si>
  <si>
    <t>%,LSTATS,FACCOUNT,V03131A</t>
  </si>
  <si>
    <t>%,LSTATS,R,FACCOUNT,V03133C</t>
  </si>
  <si>
    <t>%,LSTATS,FACCOUNT,V032330</t>
  </si>
  <si>
    <t>%,LSTATS,FACCOUNT,V03141A</t>
  </si>
  <si>
    <t>%,LSTATS,R,FACCOUNT,V03144C</t>
  </si>
  <si>
    <t>%,LSTATS,FACCOUNT,V032440</t>
  </si>
  <si>
    <t>%,LSTATS,FACCOUNT,V03151A</t>
  </si>
  <si>
    <t>%,LSTATS,R,FACCOUNT,V03154C</t>
  </si>
  <si>
    <t>%,LSTATS,FACCOUNT,V032540</t>
  </si>
  <si>
    <t>%,LSTATS,FACCOUNT,V03161A</t>
  </si>
  <si>
    <t>%,FACCOUNT,V03301B,V03302B,V03303B,V03304B,V03305B,V03306B</t>
  </si>
  <si>
    <t>%,LSTATS,SPER-1YR</t>
  </si>
  <si>
    <t>%,LSTATS,S12MO</t>
  </si>
  <si>
    <t>%,LSTATS,S12MO-1</t>
  </si>
  <si>
    <t>*  Excludes Noble Hill Landfill Renewable Energy Center</t>
  </si>
  <si>
    <t>BTU per kWh Generated  *</t>
  </si>
  <si>
    <t>55</t>
  </si>
  <si>
    <t>%,FACCOUNT,V03301A,V03302A,V03303A,V03304A,V03305A,V03306A,V03307A,V03303D</t>
  </si>
  <si>
    <t>%,FACCOUNT,V036175</t>
  </si>
  <si>
    <t>58</t>
  </si>
  <si>
    <t>Smoky Hills Contract-kW</t>
  </si>
  <si>
    <t>50</t>
  </si>
  <si>
    <t>kV Capacity of Transformers</t>
  </si>
  <si>
    <t>JR Liq Propane - Gal Burned</t>
  </si>
  <si>
    <t>JR BTU/KWH Gen - Propane</t>
  </si>
  <si>
    <t>Gross Generated (excl Noble Hill)</t>
  </si>
  <si>
    <t>%,FACCOUNT,V03301F,V03303F,V03304F,V03305F,V03306F</t>
  </si>
  <si>
    <t>Less:  Station Auxiliaries</t>
  </si>
  <si>
    <t>Unallocated Auxiliaries</t>
  </si>
  <si>
    <t>Solar kWh Billed</t>
  </si>
  <si>
    <t>%,FACCOUNT,V011B1H,V011A3H,V011A5H,V011C3H,V011C5H,V011D3H,V011D5H</t>
  </si>
  <si>
    <t>Solar Fuel Recovery Credit</t>
  </si>
  <si>
    <t>%,FACCOUNT,V036105</t>
  </si>
  <si>
    <t>System Load</t>
  </si>
  <si>
    <t>Last Day of Prior Year</t>
  </si>
  <si>
    <t>As Of Date</t>
  </si>
  <si>
    <t>%,FACCOUNT,V036350</t>
  </si>
  <si>
    <t>%,FACCOUNT,V036352</t>
  </si>
  <si>
    <t>%,FACCOUNT,V036354</t>
  </si>
  <si>
    <t>Miles of 69kV Transmission Line</t>
  </si>
  <si>
    <t>Miles of 161kV Transmission Line</t>
  </si>
  <si>
    <t>Miles of 345kV Transmission Line</t>
  </si>
  <si>
    <t>HIDDEN</t>
  </si>
  <si>
    <t xml:space="preserve">   Less:  Station Auxiliaries</t>
  </si>
  <si>
    <t>%,FACCOUNT,V03301B,V03303B,V03304B,V03305B,V03306B,V03307B,V03303E</t>
  </si>
  <si>
    <t xml:space="preserve">   Plus:  Unallocated Auxiliaries</t>
  </si>
  <si>
    <t>Net Generation</t>
  </si>
  <si>
    <t>Total Load</t>
  </si>
  <si>
    <t xml:space="preserve">   Less:  For Resale</t>
  </si>
  <si>
    <t>%,FACCOUNT,V036205</t>
  </si>
  <si>
    <t>%,FACCOUNT,V036215</t>
  </si>
  <si>
    <t>Frontier Wind - kW</t>
  </si>
  <si>
    <t>Strata Solar - kW</t>
  </si>
  <si>
    <t>Total Miles of Transmission Line</t>
  </si>
  <si>
    <t>%,FACCOUNT,V036206</t>
  </si>
  <si>
    <t>Diamond Vista Wind - kW</t>
  </si>
  <si>
    <t>%,FACCOUNT,V034010,V034020,V034087,V036253,V036255,V034050,V034093,V034098,V034092,V034099,V034091,V034094,V034095</t>
  </si>
  <si>
    <t>2022-09-30</t>
  </si>
  <si>
    <t>12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</si>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</sst>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_)&quot;%&quot;;\(#,##0.00\)&quot;%&quot;"/>
  </numFmts>
  <fonts count="23" x14ac:knownFonts="1">
    <font>
      <sz val="10"/>
      <name val="Arial"/>
    </font>
    <font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2"/>
      <color indexed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5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0" borderId="0"/>
    <xf numFmtId="0" fontId="6" fillId="5" borderId="7" applyNumberFormat="0" applyFont="0" applyAlignment="0" applyProtection="0"/>
    <xf numFmtId="0" fontId="19" fillId="9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39" fontId="3" fillId="0" borderId="0" xfId="0" applyNumberFormat="1" applyFont="1"/>
    <xf numFmtId="39" fontId="3" fillId="0" borderId="0" xfId="0" applyNumberFormat="1" applyFont="1" applyAlignment="1">
      <alignment horizontal="right"/>
    </xf>
    <xf numFmtId="39" fontId="3" fillId="0" borderId="0" xfId="0" applyNumberFormat="1" applyFont="1" applyAlignment="1">
      <alignment horizontal="left"/>
    </xf>
    <xf numFmtId="0" fontId="4" fillId="0" borderId="0" xfId="0" applyFont="1"/>
    <xf numFmtId="39" fontId="3" fillId="0" borderId="0" xfId="0" applyNumberFormat="1" applyFont="1" applyAlignment="1">
      <alignment horizontal="centerContinuous"/>
    </xf>
    <xf numFmtId="39" fontId="3" fillId="0" borderId="0" xfId="0" applyNumberFormat="1" applyFont="1" applyAlignment="1">
      <alignment horizontal="center"/>
    </xf>
    <xf numFmtId="39" fontId="3" fillId="0" borderId="0" xfId="0" quotePrefix="1" applyNumberFormat="1" applyFont="1" applyAlignment="1">
      <alignment horizontal="right"/>
    </xf>
    <xf numFmtId="39" fontId="3" fillId="0" borderId="10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right"/>
    </xf>
    <xf numFmtId="37" fontId="2" fillId="0" borderId="0" xfId="0" applyNumberFormat="1" applyFont="1"/>
    <xf numFmtId="39" fontId="2" fillId="0" borderId="0" xfId="0" applyNumberFormat="1" applyFont="1" applyAlignment="1">
      <alignment horizontal="right"/>
    </xf>
    <xf numFmtId="39" fontId="2" fillId="0" borderId="0" xfId="0" applyNumberFormat="1" applyFont="1"/>
    <xf numFmtId="39" fontId="2" fillId="0" borderId="0" xfId="0" applyNumberFormat="1" applyFont="1" applyAlignment="1">
      <alignment horizontal="left"/>
    </xf>
    <xf numFmtId="4" fontId="2" fillId="0" borderId="10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0" xfId="0" applyNumberFormat="1" applyFont="1"/>
    <xf numFmtId="0" fontId="2" fillId="0" borderId="10" xfId="0" applyFont="1" applyBorder="1"/>
    <xf numFmtId="39" fontId="2" fillId="0" borderId="12" xfId="0" applyNumberFormat="1" applyFont="1" applyBorder="1" applyAlignment="1">
      <alignment horizontal="right"/>
    </xf>
    <xf numFmtId="0" fontId="0" fillId="0" borderId="12" xfId="0" applyBorder="1"/>
    <xf numFmtId="37" fontId="3" fillId="0" borderId="10" xfId="0" applyNumberFormat="1" applyFont="1" applyBorder="1" applyAlignment="1">
      <alignment horizontal="left"/>
    </xf>
    <xf numFmtId="39" fontId="3" fillId="0" borderId="10" xfId="0" applyNumberFormat="1" applyFont="1" applyBorder="1" applyAlignment="1">
      <alignment horizontal="left"/>
    </xf>
    <xf numFmtId="37" fontId="2" fillId="0" borderId="13" xfId="0" applyNumberFormat="1" applyFont="1" applyBorder="1" applyAlignment="1">
      <alignment horizontal="right"/>
    </xf>
    <xf numFmtId="37" fontId="2" fillId="0" borderId="13" xfId="0" applyNumberFormat="1" applyFont="1" applyBorder="1"/>
    <xf numFmtId="39" fontId="2" fillId="0" borderId="13" xfId="0" applyNumberFormat="1" applyFont="1" applyBorder="1" applyAlignment="1">
      <alignment horizontal="right"/>
    </xf>
    <xf numFmtId="0" fontId="2" fillId="0" borderId="13" xfId="0" applyFont="1" applyBorder="1"/>
    <xf numFmtId="0" fontId="3" fillId="0" borderId="10" xfId="0" applyFont="1" applyBorder="1"/>
    <xf numFmtId="37" fontId="3" fillId="0" borderId="0" xfId="0" applyNumberFormat="1" applyFont="1"/>
    <xf numFmtId="37" fontId="2" fillId="0" borderId="0" xfId="0" applyNumberFormat="1" applyFont="1" applyAlignment="1">
      <alignment horizontal="center"/>
    </xf>
    <xf numFmtId="39" fontId="2" fillId="0" borderId="10" xfId="0" applyNumberFormat="1" applyFont="1" applyBorder="1" applyAlignment="1">
      <alignment horizontal="right"/>
    </xf>
    <xf numFmtId="39" fontId="2" fillId="0" borderId="10" xfId="0" applyNumberFormat="1" applyFont="1" applyBorder="1" applyAlignment="1">
      <alignment horizontal="left"/>
    </xf>
    <xf numFmtId="39" fontId="2" fillId="0" borderId="10" xfId="0" applyNumberFormat="1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left" indent="2"/>
    </xf>
    <xf numFmtId="3" fontId="2" fillId="0" borderId="0" xfId="0" applyNumberFormat="1" applyFont="1" applyAlignment="1">
      <alignment horizontal="right"/>
    </xf>
    <xf numFmtId="3" fontId="2" fillId="0" borderId="11" xfId="0" applyNumberFormat="1" applyFont="1" applyBorder="1"/>
    <xf numFmtId="4" fontId="2" fillId="0" borderId="14" xfId="0" applyNumberFormat="1" applyFont="1" applyBorder="1" applyAlignment="1">
      <alignment horizontal="right"/>
    </xf>
    <xf numFmtId="39" fontId="2" fillId="0" borderId="14" xfId="0" applyNumberFormat="1" applyFont="1" applyBorder="1" applyAlignment="1">
      <alignment horizontal="right"/>
    </xf>
    <xf numFmtId="0" fontId="2" fillId="0" borderId="14" xfId="0" applyFont="1" applyBorder="1"/>
    <xf numFmtId="39" fontId="2" fillId="0" borderId="14" xfId="0" applyNumberFormat="1" applyFont="1" applyBorder="1"/>
    <xf numFmtId="164" fontId="2" fillId="0" borderId="0" xfId="0" applyNumberFormat="1" applyFont="1" applyAlignment="1">
      <alignment horizontal="right"/>
    </xf>
    <xf numFmtId="44" fontId="2" fillId="0" borderId="0" xfId="0" applyNumberFormat="1" applyFont="1" applyAlignment="1">
      <alignment horizontal="right"/>
    </xf>
    <xf numFmtId="0" fontId="2" fillId="0" borderId="0" xfId="0" quotePrefix="1" applyFont="1"/>
    <xf numFmtId="49" fontId="3" fillId="0" borderId="1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/>
    <xf numFmtId="1" fontId="2" fillId="0" borderId="0" xfId="0" applyNumberFormat="1" applyFont="1"/>
    <xf numFmtId="14" fontId="2" fillId="0" borderId="13" xfId="0" applyNumberFormat="1" applyFont="1" applyBorder="1"/>
    <xf numFmtId="0" fontId="2" fillId="0" borderId="0" xfId="0" applyFont="1" applyAlignment="1">
      <alignment horizontal="right"/>
    </xf>
    <xf numFmtId="39" fontId="5" fillId="0" borderId="0" xfId="0" applyNumberFormat="1" applyFont="1" applyAlignment="1">
      <alignment horizontal="center"/>
    </xf>
    <xf numFmtId="0" fontId="2" fillId="0" borderId="0" xfId="37" applyFont="1"/>
    <xf numFmtId="37" fontId="2" fillId="0" borderId="10" xfId="0" applyNumberFormat="1" applyFont="1" applyBorder="1" applyAlignment="1">
      <alignment horizontal="right"/>
    </xf>
    <xf numFmtId="37" fontId="2" fillId="0" borderId="10" xfId="0" applyNumberFormat="1" applyFont="1" applyBorder="1"/>
    <xf numFmtId="3" fontId="2" fillId="0" borderId="0" xfId="0" applyNumberFormat="1" applyFont="1"/>
    <xf numFmtId="39" fontId="3" fillId="0" borderId="0" xfId="0" quotePrefix="1" applyNumberFormat="1" applyFont="1"/>
    <xf numFmtId="39" fontId="3" fillId="0" borderId="10" xfId="0" applyNumberFormat="1" applyFont="1" applyBorder="1" applyAlignment="1">
      <alignment horizontal="center"/>
    </xf>
    <xf numFmtId="39" fontId="3" fillId="0" borderId="0" xfId="0" applyNumberFormat="1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_1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H188"/>
  <sheetViews>
    <sheetView showZeros="0" tabSelected="1" view="pageBreakPreview" zoomScale="70" zoomScaleNormal="60" zoomScaleSheetLayoutView="70" workbookViewId="0">
      <pane ySplit="8" topLeftCell="A9" activePane="bottomLeft" state="frozen"/>
      <selection activeCell="B2" sqref="B2"/>
      <selection pane="bottomLeft" activeCell="B2" sqref="B2"/>
    </sheetView>
  </sheetViews>
  <sheetFormatPr defaultRowHeight="15.75" customHeight="1" x14ac:dyDescent="0.2"/>
  <cols>
    <col min="1" max="1" width="9.140625" style="1" hidden="1" customWidth="1"/>
    <col min="2" max="2" width="19.7109375" style="1" customWidth="1"/>
    <col min="3" max="3" width="3.7109375" style="1" customWidth="1"/>
    <col min="4" max="4" width="19.7109375" style="1" customWidth="1"/>
    <col min="5" max="5" width="3.7109375" style="1" customWidth="1"/>
    <col min="6" max="6" width="19.7109375" style="1" customWidth="1"/>
    <col min="7" max="7" width="2.7109375" style="1" customWidth="1"/>
    <col min="8" max="8" width="42.7109375" style="1" customWidth="1"/>
    <col min="9" max="9" width="19.7109375" style="1" customWidth="1"/>
    <col min="10" max="10" width="3.7109375" style="1" customWidth="1"/>
    <col min="11" max="11" width="19.7109375" style="1" customWidth="1"/>
    <col min="12" max="12" width="3.7109375" style="1" customWidth="1"/>
    <col min="13" max="13" width="19.7109375" style="1" customWidth="1"/>
    <col min="14" max="14" width="1.7109375" style="1" customWidth="1"/>
    <col min="15" max="15" width="8.28515625" style="1" customWidth="1"/>
    <col min="16" max="16" width="8.7109375" style="1" customWidth="1"/>
    <col min="17" max="17" width="19.7109375" style="1" customWidth="1"/>
    <col min="18" max="18" width="4.7109375" style="1" hidden="1" customWidth="1"/>
    <col min="19" max="19" width="19.5703125" style="1" hidden="1" customWidth="1"/>
    <col min="20" max="20" width="3.7109375" style="1" customWidth="1"/>
    <col min="21" max="21" width="19.7109375" style="1" customWidth="1"/>
    <col min="22" max="22" width="4.7109375" style="1" customWidth="1"/>
    <col min="23" max="23" width="9.7109375" style="1" customWidth="1"/>
    <col min="24" max="35" width="9.140625" style="1"/>
    <col min="36" max="36" width="4" style="1" customWidth="1"/>
    <col min="37" max="38" width="4.5703125" style="1" customWidth="1"/>
    <col min="39" max="39" width="4.7109375" style="1" customWidth="1"/>
    <col min="40" max="40" width="4.5703125" style="1" customWidth="1"/>
    <col min="41" max="41" width="3.42578125" style="1" customWidth="1"/>
    <col min="42" max="42" width="5" style="1" customWidth="1"/>
    <col min="43" max="43" width="4.5703125" style="1" customWidth="1"/>
    <col min="44" max="44" width="6.5703125" style="1" customWidth="1"/>
    <col min="45" max="45" width="5.5703125" style="1" customWidth="1"/>
    <col min="46" max="46" width="4.28515625" style="1" customWidth="1"/>
    <col min="47" max="47" width="4" style="1" customWidth="1"/>
    <col min="48" max="48" width="4.5703125" style="1" customWidth="1"/>
    <col min="49" max="49" width="3.85546875" style="1" customWidth="1"/>
    <col min="50" max="50" width="5.5703125" style="1" customWidth="1"/>
    <col min="51" max="51" width="5.42578125" style="1" customWidth="1"/>
    <col min="52" max="52" width="5" style="1" customWidth="1"/>
    <col min="53" max="53" width="4.5703125" style="1" customWidth="1"/>
    <col min="54" max="54" width="5.140625" style="1" customWidth="1"/>
    <col min="55" max="55" width="4.7109375" style="1" customWidth="1"/>
    <col min="56" max="56" width="4.5703125" style="1" customWidth="1"/>
    <col min="57" max="57" width="5.140625" style="1" customWidth="1"/>
    <col min="58" max="59" width="5.42578125" style="1" customWidth="1"/>
    <col min="60" max="16384" width="9.140625" style="1"/>
  </cols>
  <sheetData>
    <row r="1" spans="1:59" ht="15" hidden="1" x14ac:dyDescent="0.2">
      <c r="A1" s="1" t="s">
        <v>21</v>
      </c>
      <c r="B1" s="1" t="s">
        <v>78</v>
      </c>
      <c r="D1" s="1" t="s">
        <v>138</v>
      </c>
      <c r="I1" s="1" t="s">
        <v>76</v>
      </c>
      <c r="K1" s="1" t="s">
        <v>77</v>
      </c>
      <c r="Q1" s="1" t="s">
        <v>139</v>
      </c>
      <c r="S1" s="1" t="s">
        <v>140</v>
      </c>
      <c r="AJ1" s="1" t="s">
        <v>78</v>
      </c>
      <c r="AK1" s="1" t="s">
        <v>79</v>
      </c>
      <c r="AL1" s="1" t="s">
        <v>80</v>
      </c>
      <c r="AM1" s="1" t="s">
        <v>81</v>
      </c>
      <c r="AN1" s="1" t="s">
        <v>82</v>
      </c>
      <c r="AO1" s="1" t="s">
        <v>83</v>
      </c>
      <c r="AP1" s="1" t="s">
        <v>84</v>
      </c>
      <c r="AQ1" s="1" t="s">
        <v>85</v>
      </c>
      <c r="AR1" s="1" t="s">
        <v>86</v>
      </c>
      <c r="AS1" s="1" t="s">
        <v>87</v>
      </c>
      <c r="AT1" s="1" t="s">
        <v>88</v>
      </c>
      <c r="AU1" s="1" t="s">
        <v>89</v>
      </c>
      <c r="AV1" s="1" t="s">
        <v>90</v>
      </c>
      <c r="AW1" s="1" t="s">
        <v>91</v>
      </c>
      <c r="AX1" s="1" t="s">
        <v>92</v>
      </c>
      <c r="AY1" s="1" t="s">
        <v>93</v>
      </c>
      <c r="AZ1" s="1" t="s">
        <v>94</v>
      </c>
      <c r="BA1" s="1" t="s">
        <v>95</v>
      </c>
      <c r="BB1" s="1" t="s">
        <v>96</v>
      </c>
      <c r="BC1" s="1" t="s">
        <v>97</v>
      </c>
      <c r="BD1" s="1" t="s">
        <v>98</v>
      </c>
      <c r="BE1" s="1" t="s">
        <v>99</v>
      </c>
      <c r="BF1" s="1" t="s">
        <v>100</v>
      </c>
      <c r="BG1" s="1" t="s">
        <v>101</v>
      </c>
    </row>
    <row r="2" spans="1:59" s="2" customFormat="1" ht="15.95" customHeight="1" x14ac:dyDescent="0.2">
      <c r="B2" s="4" t="s">
        <v>0</v>
      </c>
      <c r="C2" s="3"/>
      <c r="D2" s="5"/>
      <c r="E2" s="6"/>
      <c r="F2" s="61" t="s">
        <v>1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54" t="s">
        <v>169</v>
      </c>
      <c r="S2" s="54" t="s">
        <v>169</v>
      </c>
      <c r="T2" s="6"/>
      <c r="V2" s="3"/>
      <c r="W2" s="3" t="str">
        <f>Y2</f>
        <v>September, 2022</v>
      </c>
      <c r="Y2" s="8" t="str">
        <f>TEXT(ASD,"MMMM, YYYY")</f>
        <v>September, 2022</v>
      </c>
    </row>
    <row r="3" spans="1:59" s="2" customFormat="1" ht="15.95" customHeight="1" x14ac:dyDescent="0.2">
      <c r="B3" s="3"/>
      <c r="C3" s="3"/>
      <c r="D3" s="5"/>
      <c r="E3" s="6"/>
      <c r="F3" s="61" t="s">
        <v>2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7"/>
      <c r="S3" s="7"/>
      <c r="T3" s="6"/>
      <c r="U3" s="6"/>
      <c r="V3" s="6"/>
      <c r="W3" s="6"/>
      <c r="Y3" s="59" t="s">
        <v>184</v>
      </c>
    </row>
    <row r="4" spans="1:59" s="2" customFormat="1" ht="15.95" customHeight="1" x14ac:dyDescent="0.2">
      <c r="B4" s="3"/>
      <c r="C4" s="3"/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6"/>
      <c r="U4" s="6"/>
      <c r="V4" s="6"/>
      <c r="W4" s="6"/>
      <c r="Y4" s="59" t="s">
        <v>185</v>
      </c>
    </row>
    <row r="5" spans="1:59" s="2" customFormat="1" ht="15.95" customHeight="1" x14ac:dyDescent="0.2">
      <c r="B5" s="3"/>
      <c r="C5" s="3"/>
      <c r="D5" s="3"/>
      <c r="E5" s="3"/>
      <c r="F5" s="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Y5" s="59" t="s">
        <v>186</v>
      </c>
    </row>
    <row r="6" spans="1:59" s="2" customFormat="1" ht="15.95" customHeight="1" x14ac:dyDescent="0.2">
      <c r="A6" s="7"/>
      <c r="B6" s="60" t="str">
        <f>"Month of "&amp;TEXT(ASD,"MMMM")</f>
        <v>Month of September</v>
      </c>
      <c r="C6" s="60"/>
      <c r="D6" s="60"/>
      <c r="E6" s="60"/>
      <c r="F6" s="60"/>
      <c r="I6" s="60" t="str">
        <f>"Fiscal Year to Date Through "&amp;TEXT(ASD,"MMMM DD")</f>
        <v>Fiscal Year to Date Through September 30</v>
      </c>
      <c r="J6" s="60"/>
      <c r="K6" s="60"/>
      <c r="L6" s="60"/>
      <c r="M6" s="60"/>
      <c r="N6" s="60"/>
      <c r="O6" s="60"/>
      <c r="Q6" s="60" t="str">
        <f>"Twelve Months Ended "&amp;TEXT(ASD,"MMMM DD")</f>
        <v>Twelve Months Ended September 30</v>
      </c>
      <c r="R6" s="60"/>
      <c r="S6" s="60"/>
      <c r="T6" s="60"/>
      <c r="U6" s="60"/>
      <c r="V6" s="7"/>
    </row>
    <row r="7" spans="1:59" s="2" customFormat="1" ht="15.95" customHeight="1" x14ac:dyDescent="0.2">
      <c r="A7" s="7"/>
      <c r="B7" s="6"/>
      <c r="C7" s="6"/>
      <c r="D7" s="6"/>
      <c r="E7" s="6"/>
      <c r="F7" s="7" t="s">
        <v>55</v>
      </c>
      <c r="I7" s="6"/>
      <c r="J7" s="6"/>
      <c r="K7" s="6"/>
      <c r="L7" s="6"/>
      <c r="M7" s="7" t="s">
        <v>55</v>
      </c>
      <c r="O7" s="7" t="s">
        <v>56</v>
      </c>
      <c r="Q7" s="6"/>
      <c r="R7" s="6"/>
      <c r="S7" s="6"/>
      <c r="T7" s="6"/>
      <c r="U7" s="7" t="s">
        <v>55</v>
      </c>
      <c r="V7" s="7"/>
      <c r="W7" s="48"/>
    </row>
    <row r="8" spans="1:59" s="7" customFormat="1" ht="15.95" customHeight="1" x14ac:dyDescent="0.2">
      <c r="B8" s="9" t="s">
        <v>3</v>
      </c>
      <c r="C8" s="9"/>
      <c r="D8" s="9" t="s">
        <v>4</v>
      </c>
      <c r="E8" s="9"/>
      <c r="F8" s="9" t="s">
        <v>4</v>
      </c>
      <c r="I8" s="9" t="s">
        <v>3</v>
      </c>
      <c r="J8" s="9"/>
      <c r="K8" s="9" t="s">
        <v>4</v>
      </c>
      <c r="L8" s="9"/>
      <c r="M8" s="9" t="s">
        <v>4</v>
      </c>
      <c r="N8" s="9"/>
      <c r="O8" s="9" t="s">
        <v>50</v>
      </c>
      <c r="Q8" s="9" t="s">
        <v>3</v>
      </c>
      <c r="R8" s="9"/>
      <c r="S8" s="9" t="s">
        <v>4</v>
      </c>
      <c r="T8" s="9"/>
      <c r="U8" s="9" t="s">
        <v>4</v>
      </c>
      <c r="W8" s="47" t="s">
        <v>5</v>
      </c>
    </row>
    <row r="9" spans="1:59" ht="30" customHeight="1" x14ac:dyDescent="0.2">
      <c r="A9" s="1" t="s">
        <v>102</v>
      </c>
      <c r="B9" s="10">
        <v>162</v>
      </c>
      <c r="C9" s="10"/>
      <c r="D9" s="10">
        <v>197</v>
      </c>
      <c r="E9" s="10"/>
      <c r="F9" s="10">
        <f>IF((SUM(B9:B9)-SUM(D9:D9))=0," ",SUM(B9:B9)-SUM(D9:D9))</f>
        <v>-35</v>
      </c>
      <c r="G9" s="11"/>
      <c r="H9" s="11" t="s">
        <v>6</v>
      </c>
      <c r="I9" s="11">
        <v>1756</v>
      </c>
      <c r="J9" s="11"/>
      <c r="K9" s="11">
        <v>2189</v>
      </c>
      <c r="L9" s="11"/>
      <c r="M9" s="10">
        <f>IF((SUM(I9:I9)-SUM(K9:K9))=0," ",SUM(I9:I9)-SUM(K9:K9))</f>
        <v>-433</v>
      </c>
      <c r="N9" s="11"/>
      <c r="O9" s="10">
        <f>IF(M9=" ", "-  ", IF(M9=0, "-  ",  IF(K9=0, "-  ", IF((M9/ABS(K9))&gt;2, "&gt; 200 ",  IF(M9/ABS(K9)&lt;-2, "&lt; (200)", IF(AND(M9/ABS(K9)&gt;-0.005, M9/ABS(K9)&lt;0.005), "-  ", ((M9/ABS(K9))*100)))))))</f>
        <v>-19.780721790772045</v>
      </c>
      <c r="P9" s="11"/>
      <c r="Q9" s="11">
        <v>1756</v>
      </c>
      <c r="R9" s="11"/>
      <c r="S9" s="11">
        <v>2189</v>
      </c>
      <c r="T9" s="11"/>
      <c r="U9" s="10">
        <f>IF((SUM(Q9:Q9)-SUM(S9:S9))=0," ",SUM(Q9:Q9)-SUM(S9:S9))</f>
        <v>-433</v>
      </c>
      <c r="V9" s="10"/>
      <c r="W9" s="49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">
        <v>162</v>
      </c>
      <c r="AK9" s="1">
        <v>136</v>
      </c>
      <c r="AL9" s="1">
        <v>166</v>
      </c>
      <c r="AM9" s="1">
        <v>158</v>
      </c>
      <c r="AN9" s="1">
        <v>138</v>
      </c>
      <c r="AO9" s="1">
        <v>170</v>
      </c>
      <c r="AP9" s="1">
        <v>125</v>
      </c>
      <c r="AQ9" s="1">
        <v>173</v>
      </c>
      <c r="AR9" s="1">
        <v>122</v>
      </c>
      <c r="AS9" s="1">
        <v>105</v>
      </c>
      <c r="AT9" s="1">
        <v>163</v>
      </c>
      <c r="AU9" s="1">
        <v>138</v>
      </c>
      <c r="AV9" s="1">
        <v>197</v>
      </c>
      <c r="AW9" s="1">
        <v>122</v>
      </c>
      <c r="AX9" s="1">
        <v>138</v>
      </c>
      <c r="AY9" s="1">
        <v>214</v>
      </c>
      <c r="AZ9" s="1">
        <v>109</v>
      </c>
      <c r="BA9" s="1">
        <v>226</v>
      </c>
      <c r="BB9" s="1">
        <v>206</v>
      </c>
      <c r="BC9" s="1">
        <v>144</v>
      </c>
      <c r="BD9" s="1">
        <v>275</v>
      </c>
      <c r="BE9" s="1">
        <v>214</v>
      </c>
      <c r="BF9" s="1">
        <v>176</v>
      </c>
      <c r="BG9" s="1">
        <v>168</v>
      </c>
    </row>
    <row r="10" spans="1:59" ht="15.95" customHeight="1" x14ac:dyDescent="0.2">
      <c r="A10" s="1" t="s">
        <v>103</v>
      </c>
      <c r="B10" s="10">
        <v>281</v>
      </c>
      <c r="C10" s="10"/>
      <c r="D10" s="10">
        <v>413</v>
      </c>
      <c r="E10" s="10"/>
      <c r="F10" s="10">
        <f>IF((SUM(B10:B10)-SUM(D10:D10))=0," ",SUM(B10:B10)-SUM(D10:D10))</f>
        <v>-132</v>
      </c>
      <c r="G10" s="11"/>
      <c r="H10" s="11" t="s">
        <v>45</v>
      </c>
      <c r="I10" s="11">
        <v>3718</v>
      </c>
      <c r="J10" s="11"/>
      <c r="K10" s="11">
        <v>4670</v>
      </c>
      <c r="L10" s="11"/>
      <c r="M10" s="10">
        <f>IF((SUM(I10:I10)-SUM(K10:K10))=0," ",SUM(I10:I10)-SUM(K10:K10))</f>
        <v>-952</v>
      </c>
      <c r="N10" s="11"/>
      <c r="O10" s="10">
        <f>IF(M10=" ", "-  ", IF(M10=0, "-  ",  IF(K10=0, "-  ", IF((M10/ABS(K10))&gt;2, "&gt; 200 ",  IF(M10/ABS(K10)&lt;-2, "&lt; (200)", IF(AND(M10/ABS(K10)&gt;-0.005, M10/ABS(K10)&lt;0.005), "-  ", ((M10/ABS(K10))*100)))))))</f>
        <v>-20.385438972162742</v>
      </c>
      <c r="P10" s="11"/>
      <c r="Q10" s="11">
        <v>3718</v>
      </c>
      <c r="R10" s="11"/>
      <c r="S10" s="11">
        <v>4670</v>
      </c>
      <c r="T10" s="11"/>
      <c r="U10" s="10">
        <f>IF((SUM(Q10:Q10)-SUM(S10:S10))=0," ",SUM(Q10:Q10)-SUM(S10:S10))</f>
        <v>-952</v>
      </c>
      <c r="V10" s="10"/>
      <c r="W10" s="49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">
        <v>281</v>
      </c>
      <c r="AK10" s="1">
        <v>395</v>
      </c>
      <c r="AL10" s="1">
        <v>244</v>
      </c>
      <c r="AM10" s="1">
        <v>321</v>
      </c>
      <c r="AN10" s="1">
        <v>252</v>
      </c>
      <c r="AO10" s="1">
        <v>244</v>
      </c>
      <c r="AP10" s="1">
        <v>329</v>
      </c>
      <c r="AQ10" s="1">
        <v>321</v>
      </c>
      <c r="AR10" s="1">
        <v>265</v>
      </c>
      <c r="AS10" s="1">
        <v>286</v>
      </c>
      <c r="AT10" s="1">
        <v>345</v>
      </c>
      <c r="AU10" s="1">
        <v>435</v>
      </c>
      <c r="AV10" s="1">
        <v>413</v>
      </c>
      <c r="AW10" s="1">
        <v>520</v>
      </c>
      <c r="AX10" s="1">
        <v>330</v>
      </c>
      <c r="AY10" s="1">
        <v>704</v>
      </c>
      <c r="AZ10" s="1">
        <v>323</v>
      </c>
      <c r="BA10" s="1">
        <v>312</v>
      </c>
      <c r="BB10" s="1">
        <v>347</v>
      </c>
      <c r="BC10" s="1">
        <v>464</v>
      </c>
      <c r="BD10" s="1">
        <v>362</v>
      </c>
      <c r="BE10" s="1">
        <v>279</v>
      </c>
      <c r="BF10" s="1">
        <v>281</v>
      </c>
      <c r="BG10" s="1">
        <v>335</v>
      </c>
    </row>
    <row r="11" spans="1:59" ht="15.95" customHeight="1" x14ac:dyDescent="0.2">
      <c r="A11" s="1" t="s">
        <v>104</v>
      </c>
      <c r="B11" s="10">
        <v>199</v>
      </c>
      <c r="C11" s="10"/>
      <c r="D11" s="10">
        <v>212</v>
      </c>
      <c r="E11" s="10"/>
      <c r="F11" s="10">
        <f>IF((SUM(B11:B11)-SUM(D11:D11))=0," ",SUM(B11:B11)-SUM(D11:D11))</f>
        <v>-13</v>
      </c>
      <c r="G11" s="11"/>
      <c r="H11" s="11" t="s">
        <v>7</v>
      </c>
      <c r="I11" s="11">
        <v>2162</v>
      </c>
      <c r="J11" s="11"/>
      <c r="K11" s="11">
        <v>2367</v>
      </c>
      <c r="L11" s="11"/>
      <c r="M11" s="10">
        <f>IF((SUM(I11:I11)-SUM(K11:K11))=0," ",SUM(I11:I11)-SUM(K11:K11))</f>
        <v>-205</v>
      </c>
      <c r="N11" s="11"/>
      <c r="O11" s="10">
        <f>IF(M11=" ", "-  ", IF(M11=0, "-  ",  IF(K11=0, "-  ", IF((M11/ABS(K11))&gt;2, "&gt; 200 ",  IF(M11/ABS(K11)&lt;-2, "&lt; (200)", IF(AND(M11/ABS(K11)&gt;-0.005, M11/ABS(K11)&lt;0.005), "-  ", ((M11/ABS(K11))*100)))))))</f>
        <v>-8.660752006759612</v>
      </c>
      <c r="P11" s="11"/>
      <c r="Q11" s="11">
        <v>2162</v>
      </c>
      <c r="R11" s="11"/>
      <c r="S11" s="11">
        <v>2367</v>
      </c>
      <c r="T11" s="11"/>
      <c r="U11" s="10">
        <f>IF((SUM(Q11:Q11)-SUM(S11:S11))=0," ",SUM(Q11:Q11)-SUM(S11:S11))</f>
        <v>-205</v>
      </c>
      <c r="V11" s="10"/>
      <c r="W11" s="49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">
        <v>199</v>
      </c>
      <c r="AK11" s="1">
        <v>221</v>
      </c>
      <c r="AL11" s="1">
        <v>141</v>
      </c>
      <c r="AM11" s="1">
        <v>170</v>
      </c>
      <c r="AN11" s="1">
        <v>190</v>
      </c>
      <c r="AO11" s="1">
        <v>232</v>
      </c>
      <c r="AP11" s="1">
        <v>206</v>
      </c>
      <c r="AQ11" s="1">
        <v>76</v>
      </c>
      <c r="AR11" s="1">
        <v>126</v>
      </c>
      <c r="AS11" s="1">
        <v>194</v>
      </c>
      <c r="AT11" s="1">
        <v>196</v>
      </c>
      <c r="AU11" s="1">
        <v>211</v>
      </c>
      <c r="AV11" s="1">
        <v>212</v>
      </c>
      <c r="AW11" s="1">
        <v>219</v>
      </c>
      <c r="AX11" s="1">
        <v>212</v>
      </c>
      <c r="AY11" s="1">
        <v>226</v>
      </c>
      <c r="AZ11" s="1">
        <v>211</v>
      </c>
      <c r="BA11" s="1">
        <v>172</v>
      </c>
      <c r="BB11" s="1">
        <v>223</v>
      </c>
      <c r="BC11" s="1">
        <v>91</v>
      </c>
      <c r="BD11" s="1">
        <v>123</v>
      </c>
      <c r="BE11" s="1">
        <v>164</v>
      </c>
      <c r="BF11" s="1">
        <v>189</v>
      </c>
      <c r="BG11" s="1">
        <v>325</v>
      </c>
    </row>
    <row r="12" spans="1:59" ht="15.95" customHeight="1" x14ac:dyDescent="0.2">
      <c r="B12" s="11">
        <f>B114</f>
        <v>45</v>
      </c>
      <c r="C12" s="10"/>
      <c r="D12" s="11">
        <f>D114</f>
        <v>92</v>
      </c>
      <c r="E12" s="10"/>
      <c r="F12" s="11">
        <f>IF((SUM(B12:B12)-SUM(D12:D12))=0," ",SUM(B12:B12)-SUM(D12:D12))</f>
        <v>-47</v>
      </c>
      <c r="G12" s="11"/>
      <c r="H12" s="11" t="s">
        <v>62</v>
      </c>
      <c r="I12" s="11">
        <f>I114</f>
        <v>750</v>
      </c>
      <c r="J12" s="11"/>
      <c r="K12" s="11">
        <f>K114</f>
        <v>1368</v>
      </c>
      <c r="L12" s="11"/>
      <c r="M12" s="10">
        <f>IF((SUM(I12:I12)-SUM(K12:K12))=0," ",SUM(I12:I12)-SUM(K12:K12))</f>
        <v>-618</v>
      </c>
      <c r="N12" s="11"/>
      <c r="O12" s="10">
        <f>IF(M12=" ", "-  ", IF(M12=0, "-  ",  IF(K12=0, "-  ", IF((M12/ABS(K12))&gt;2, "&gt; 200 ",  IF(M12/ABS(K12)&lt;-2, "&lt; (200)", IF(AND(M12/ABS(K12)&gt;-0.005, M12/ABS(K12)&lt;0.005), "-  ", ((M12/ABS(K12))*100)))))))</f>
        <v>-45.175438596491233</v>
      </c>
      <c r="P12" s="11"/>
      <c r="Q12" s="11">
        <f>Q114</f>
        <v>750</v>
      </c>
      <c r="R12" s="11"/>
      <c r="S12" s="11">
        <f>S114</f>
        <v>1368</v>
      </c>
      <c r="T12" s="11"/>
      <c r="U12" s="10">
        <f>IF((SUM(Q12:Q12)-SUM(S12:S12))=0," ",SUM(Q12:Q12)-SUM(S12:S12))</f>
        <v>-618</v>
      </c>
      <c r="V12" s="10"/>
      <c r="W12" s="49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59" ht="30" customHeight="1" x14ac:dyDescent="0.2">
      <c r="A13" s="1" t="s">
        <v>105</v>
      </c>
      <c r="B13" s="10">
        <v>119444</v>
      </c>
      <c r="C13" s="10"/>
      <c r="D13" s="10">
        <v>118694</v>
      </c>
      <c r="E13" s="10"/>
      <c r="F13" s="10">
        <f>IF((SUM(B13:B13)-SUM(D13:D13))=0," ",SUM(B13:B13)-SUM(D13:D13))</f>
        <v>750</v>
      </c>
      <c r="G13" s="11"/>
      <c r="H13" s="11" t="s">
        <v>8</v>
      </c>
      <c r="I13" s="11">
        <v>119444</v>
      </c>
      <c r="J13" s="11"/>
      <c r="K13" s="11">
        <v>118694</v>
      </c>
      <c r="L13" s="11"/>
      <c r="M13" s="10">
        <f>IF((SUM(I13:I13)-SUM(K13:K13))=0," ",SUM(I13:I13)-SUM(K13:K13))</f>
        <v>750</v>
      </c>
      <c r="N13" s="11"/>
      <c r="O13" s="10">
        <f>IF(M13=" ", "-  ", IF(M13=0, "-  ",  IF(K13=0, "-  ", IF((M13/ABS(K13))&gt;2, "&gt; 200 ",  IF(M13/ABS(K13)&lt;-2, "&lt; (200)", IF(AND(M13/ABS(K13)&gt;-0.005, M13/ABS(K13)&lt;0.005), "-  ", ((M13/ABS(K13))*100)))))))</f>
        <v>0.63187692722462807</v>
      </c>
      <c r="P13" s="11"/>
      <c r="Q13" s="11">
        <v>119444</v>
      </c>
      <c r="R13" s="11"/>
      <c r="S13" s="11">
        <v>118694</v>
      </c>
      <c r="T13" s="11"/>
      <c r="U13" s="10">
        <f>IF((SUM(Q13:Q13)-SUM(S13:S13))=0," ",SUM(Q13:Q13)-SUM(S13:S13))</f>
        <v>750</v>
      </c>
      <c r="V13" s="10"/>
      <c r="W13" s="49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">
        <v>119444</v>
      </c>
      <c r="AK13" s="1">
        <v>119399</v>
      </c>
      <c r="AL13" s="1">
        <v>119300</v>
      </c>
      <c r="AM13" s="1">
        <v>119241</v>
      </c>
      <c r="AN13" s="1">
        <v>119173</v>
      </c>
      <c r="AO13" s="1">
        <v>119123</v>
      </c>
      <c r="AP13" s="1">
        <v>119059</v>
      </c>
      <c r="AQ13" s="1">
        <v>118920</v>
      </c>
      <c r="AR13" s="1">
        <v>118933</v>
      </c>
      <c r="AS13" s="1">
        <v>118892</v>
      </c>
      <c r="AT13" s="1">
        <v>118782</v>
      </c>
      <c r="AU13" s="1">
        <v>118704</v>
      </c>
      <c r="AV13" s="1">
        <v>118694</v>
      </c>
      <c r="AW13" s="1">
        <v>118602</v>
      </c>
      <c r="AX13" s="1">
        <v>118604</v>
      </c>
      <c r="AY13" s="1">
        <v>118487</v>
      </c>
      <c r="AZ13" s="1">
        <v>118373</v>
      </c>
      <c r="BA13" s="1">
        <v>118361</v>
      </c>
      <c r="BB13" s="1">
        <v>118183</v>
      </c>
      <c r="BC13" s="1">
        <v>118123</v>
      </c>
      <c r="BD13" s="1">
        <v>118029</v>
      </c>
      <c r="BE13" s="1">
        <v>117798</v>
      </c>
      <c r="BF13" s="1">
        <v>117607</v>
      </c>
      <c r="BG13" s="1">
        <v>117470</v>
      </c>
    </row>
    <row r="14" spans="1:59" ht="15.95" customHeight="1" x14ac:dyDescent="0.2">
      <c r="B14" s="10"/>
      <c r="C14" s="10"/>
      <c r="D14" s="10"/>
      <c r="E14" s="10"/>
      <c r="F14" s="10"/>
      <c r="G14" s="11"/>
      <c r="H14" s="11"/>
      <c r="I14" s="11"/>
      <c r="J14" s="11"/>
      <c r="K14" s="11"/>
      <c r="L14" s="11"/>
      <c r="M14" s="10"/>
      <c r="N14" s="11"/>
      <c r="O14" s="11"/>
      <c r="P14" s="11"/>
      <c r="Q14" s="11"/>
      <c r="R14" s="11"/>
      <c r="S14" s="11"/>
      <c r="T14" s="11"/>
      <c r="U14" s="10"/>
      <c r="V14" s="10"/>
      <c r="W14" s="49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59" ht="15.95" customHeight="1" x14ac:dyDescent="0.2">
      <c r="A15" s="1" t="s">
        <v>106</v>
      </c>
      <c r="B15" s="10">
        <v>27281</v>
      </c>
      <c r="C15" s="10"/>
      <c r="D15" s="10">
        <v>27161</v>
      </c>
      <c r="E15" s="10"/>
      <c r="F15" s="10">
        <f>IF((SUM(B15:B15)-SUM(D15:D15))=0," ",SUM(B15:B15)-SUM(D15:D15))</f>
        <v>120</v>
      </c>
      <c r="G15" s="11"/>
      <c r="H15" s="11" t="s">
        <v>44</v>
      </c>
      <c r="I15" s="11">
        <v>27281</v>
      </c>
      <c r="J15" s="11"/>
      <c r="K15" s="11">
        <v>27161</v>
      </c>
      <c r="L15" s="11"/>
      <c r="M15" s="10">
        <f>IF((SUM(I15:I15)-SUM(K15:K15))=0," ",SUM(I15:I15)-SUM(K15:K15))</f>
        <v>120</v>
      </c>
      <c r="N15" s="11"/>
      <c r="O15" s="10" t="str">
        <f>IF(M15=" ", "-  ", IF(M15=0, "-  ",  IF(K15=0, "-  ", IF((M15/ABS(K15))&gt;2, "&gt; 200 ",  IF(M15/ABS(K15)&lt;-2, "&lt; (200)", IF(AND(M15/ABS(K15)&gt;-0.005, M15/ABS(K15)&lt;0.005), "-  ", ((M15/ABS(K15))*100)))))))</f>
        <v xml:space="preserve">-  </v>
      </c>
      <c r="P15" s="11"/>
      <c r="Q15" s="11">
        <v>27281</v>
      </c>
      <c r="R15" s="11"/>
      <c r="S15" s="11">
        <v>27161</v>
      </c>
      <c r="T15" s="11"/>
      <c r="U15" s="10">
        <f>IF((SUM(Q15:Q15)-SUM(S15:S15))=0," ",SUM(Q15:Q15)-SUM(S15:S15))</f>
        <v>120</v>
      </c>
      <c r="V15" s="10"/>
      <c r="W15" s="49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">
        <v>27281</v>
      </c>
      <c r="AK15" s="1">
        <v>27248</v>
      </c>
      <c r="AL15" s="1">
        <v>27264</v>
      </c>
      <c r="AM15" s="1">
        <v>27249</v>
      </c>
      <c r="AN15" s="1">
        <v>27223</v>
      </c>
      <c r="AO15" s="1">
        <v>27208</v>
      </c>
      <c r="AP15" s="1">
        <v>27198</v>
      </c>
      <c r="AQ15" s="1">
        <v>27210</v>
      </c>
      <c r="AR15" s="1">
        <v>27185</v>
      </c>
      <c r="AS15" s="1">
        <v>27194</v>
      </c>
      <c r="AT15" s="1">
        <v>27208</v>
      </c>
      <c r="AU15" s="1">
        <v>27210</v>
      </c>
      <c r="AV15" s="1">
        <v>27161</v>
      </c>
      <c r="AW15" s="1">
        <v>27121</v>
      </c>
      <c r="AX15" s="1">
        <v>27114</v>
      </c>
      <c r="AY15" s="1">
        <v>27121</v>
      </c>
      <c r="AZ15" s="1">
        <v>27124</v>
      </c>
      <c r="BA15" s="1">
        <v>27102</v>
      </c>
      <c r="BB15" s="1">
        <v>27101</v>
      </c>
      <c r="BC15" s="1">
        <v>27079</v>
      </c>
      <c r="BD15" s="1">
        <v>27071</v>
      </c>
      <c r="BE15" s="1">
        <v>27069</v>
      </c>
      <c r="BF15" s="1">
        <v>27061</v>
      </c>
      <c r="BG15" s="1">
        <v>27006</v>
      </c>
    </row>
    <row r="16" spans="1:59" ht="15.75" hidden="1" customHeight="1" x14ac:dyDescent="0.2">
      <c r="A16" s="1" t="s">
        <v>107</v>
      </c>
      <c r="B16" s="10">
        <v>1983856</v>
      </c>
      <c r="C16" s="10"/>
      <c r="D16" s="10">
        <v>1951566</v>
      </c>
      <c r="E16" s="10"/>
      <c r="F16" s="10">
        <f>IF((SUM(B16:B16)-SUM(D16:D16))=0," ",SUM(B16:B16)-SUM(D16:D16))</f>
        <v>32290</v>
      </c>
      <c r="G16" s="11"/>
      <c r="H16" s="11" t="s">
        <v>149</v>
      </c>
      <c r="I16" s="11">
        <v>1983856</v>
      </c>
      <c r="J16" s="11"/>
      <c r="K16" s="11">
        <v>1951566</v>
      </c>
      <c r="L16" s="11"/>
      <c r="M16" s="10">
        <f>IF((SUM(I16:I16)-SUM(K16:K16))=0," ",SUM(I16:I16)-SUM(K16:K16))</f>
        <v>32290</v>
      </c>
      <c r="N16" s="11"/>
      <c r="O16" s="11"/>
      <c r="P16" s="11"/>
      <c r="Q16" s="11">
        <v>1983856</v>
      </c>
      <c r="R16" s="11"/>
      <c r="S16" s="11">
        <v>1951566</v>
      </c>
      <c r="T16" s="11"/>
      <c r="U16" s="10">
        <f>IF((SUM(Q16:Q16)-SUM(S16:S16))=0," ",SUM(Q16:Q16)-SUM(S16:S16))</f>
        <v>32290</v>
      </c>
      <c r="V16" s="10"/>
      <c r="W16" s="49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">
        <v>1983856</v>
      </c>
      <c r="AK16" s="1">
        <v>1977171</v>
      </c>
      <c r="AL16" s="1">
        <v>1974721</v>
      </c>
      <c r="AM16" s="1">
        <v>1973651</v>
      </c>
      <c r="AN16" s="1">
        <v>1970216</v>
      </c>
      <c r="AO16" s="1">
        <v>1966886</v>
      </c>
      <c r="AP16" s="1">
        <v>1961766</v>
      </c>
      <c r="AQ16" s="1">
        <v>1961317</v>
      </c>
      <c r="AR16" s="1">
        <v>1958958</v>
      </c>
      <c r="AS16" s="1">
        <v>1959013</v>
      </c>
      <c r="AT16" s="1">
        <v>1958478</v>
      </c>
      <c r="AU16" s="1">
        <v>1956908</v>
      </c>
      <c r="AV16" s="1">
        <v>1951566</v>
      </c>
      <c r="AW16" s="1">
        <v>1946241</v>
      </c>
      <c r="AX16" s="1">
        <v>1940115</v>
      </c>
      <c r="AY16" s="1">
        <v>1934097</v>
      </c>
      <c r="AZ16" s="1">
        <v>1928502</v>
      </c>
      <c r="BA16" s="1">
        <v>1925557</v>
      </c>
      <c r="BB16" s="1">
        <v>1924787</v>
      </c>
      <c r="BC16" s="1">
        <v>1916007</v>
      </c>
      <c r="BD16" s="1">
        <v>1910992</v>
      </c>
      <c r="BE16" s="1">
        <v>1910544</v>
      </c>
      <c r="BF16" s="1">
        <v>1906551</v>
      </c>
      <c r="BG16" s="1">
        <v>1901965</v>
      </c>
    </row>
    <row r="17" spans="1:59" ht="15.95" customHeight="1" x14ac:dyDescent="0.2">
      <c r="B17" s="10">
        <f>ROUND(IF(B16=0,"0",B16),0)</f>
        <v>1983856</v>
      </c>
      <c r="C17" s="10"/>
      <c r="D17" s="10">
        <f>ROUND(IF(D16=0,"0",D16),0)</f>
        <v>1951566</v>
      </c>
      <c r="E17" s="10"/>
      <c r="F17" s="10">
        <f>IF((SUM(B17:B17)-SUM(D17:D17))=0," ",SUM(B17:B17)-SUM(D17:D17))</f>
        <v>32290</v>
      </c>
      <c r="G17" s="11"/>
      <c r="H17" s="11" t="s">
        <v>75</v>
      </c>
      <c r="I17" s="10">
        <f>ROUND(IF(I16=0,"0",I16),0)</f>
        <v>1983856</v>
      </c>
      <c r="J17" s="11"/>
      <c r="K17" s="10">
        <f>ROUND(IF(K16=0,"0",K16),0)</f>
        <v>1951566</v>
      </c>
      <c r="L17" s="11"/>
      <c r="M17" s="10">
        <f>IF((SUM(I17:I17)-SUM(K17:K17))=0," ",SUM(I17:I17)-SUM(K17:K17))</f>
        <v>32290</v>
      </c>
      <c r="N17" s="11"/>
      <c r="O17" s="10">
        <f>IF(M17=" ", "-  ", IF(M17=0, "-  ",  IF(K17=0, "-  ", IF((M17/ABS(K17))&gt;2, "&gt; 200 ",  IF(M17/ABS(K17)&lt;-2, "&lt; (200)", IF(AND(M17/ABS(K17)&gt;-0.005, M17/ABS(K17)&lt;0.005), "-  ", ((M17/ABS(K17))*100)))))))</f>
        <v>1.6545686899648793</v>
      </c>
      <c r="P17" s="11"/>
      <c r="Q17" s="10">
        <f>ROUND(IF(Q16=0,"0",Q16),0)</f>
        <v>1983856</v>
      </c>
      <c r="R17" s="11"/>
      <c r="S17" s="10">
        <f>ROUND(IF(S16=0,"0",S16),0)</f>
        <v>1951566</v>
      </c>
      <c r="T17" s="11"/>
      <c r="U17" s="10">
        <f>IF((SUM(Q17:Q17)-SUM(S17:S17))=0," ",SUM(Q17:Q17)-SUM(S17:S17))</f>
        <v>32290</v>
      </c>
      <c r="V17" s="10"/>
      <c r="W17" s="49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59" ht="15.95" customHeight="1" x14ac:dyDescent="0.2">
      <c r="B18" s="10"/>
      <c r="C18" s="10"/>
      <c r="D18" s="10"/>
      <c r="E18" s="10"/>
      <c r="F18" s="10"/>
      <c r="G18" s="11"/>
      <c r="H18" s="11"/>
      <c r="I18" s="11"/>
      <c r="J18" s="11"/>
      <c r="K18" s="11"/>
      <c r="L18" s="11"/>
      <c r="M18" s="10"/>
      <c r="N18" s="11"/>
      <c r="O18" s="11"/>
      <c r="P18" s="11"/>
      <c r="Q18" s="11"/>
      <c r="R18" s="11"/>
      <c r="S18" s="11"/>
      <c r="T18" s="11"/>
      <c r="U18" s="10"/>
      <c r="V18" s="10"/>
      <c r="W18" s="49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59" ht="15.95" customHeight="1" x14ac:dyDescent="0.2">
      <c r="A19" s="1" t="s">
        <v>108</v>
      </c>
      <c r="B19" s="10">
        <v>23037</v>
      </c>
      <c r="C19" s="10"/>
      <c r="D19" s="10">
        <v>22864</v>
      </c>
      <c r="E19" s="10"/>
      <c r="F19" s="10">
        <f>IF((SUM(B19:B19)-SUM(D19:D19))=0," ",SUM(B19:B19)-SUM(D19:D19))</f>
        <v>173</v>
      </c>
      <c r="G19" s="11"/>
      <c r="H19" s="11" t="s">
        <v>9</v>
      </c>
      <c r="I19" s="11">
        <v>23037</v>
      </c>
      <c r="J19" s="11"/>
      <c r="K19" s="11">
        <v>22864</v>
      </c>
      <c r="L19" s="11"/>
      <c r="M19" s="10">
        <f>IF((SUM(I19:I19)-SUM(K19:K19))=0," ",SUM(I19:I19)-SUM(K19:K19))</f>
        <v>173</v>
      </c>
      <c r="N19" s="11"/>
      <c r="O19" s="10">
        <f>IF(M19=" ", "-  ", IF(M19=0, "-  ",  IF(K19=0, "-  ", IF((M19/ABS(K19))&gt;2, "&gt; 200 ",  IF(M19/ABS(K19)&lt;-2, "&lt; (200)", IF(AND(M19/ABS(K19)&gt;-0.005, M19/ABS(K19)&lt;0.005), "-  ", ((M19/ABS(K19))*100)))))))</f>
        <v>0.75664800559832046</v>
      </c>
      <c r="P19" s="11"/>
      <c r="Q19" s="11">
        <v>23037</v>
      </c>
      <c r="R19" s="11"/>
      <c r="S19" s="11">
        <v>22864</v>
      </c>
      <c r="T19" s="11"/>
      <c r="U19" s="10">
        <f>IF((SUM(Q19:Q19)-SUM(S19:S19))=0," ",SUM(Q19:Q19)-SUM(S19:S19))</f>
        <v>173</v>
      </c>
      <c r="V19" s="10"/>
      <c r="W19" s="49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">
        <v>23037</v>
      </c>
      <c r="AK19" s="1">
        <v>23032</v>
      </c>
      <c r="AL19" s="1">
        <v>23019</v>
      </c>
      <c r="AM19" s="1">
        <v>23014</v>
      </c>
      <c r="AN19" s="1">
        <v>23018</v>
      </c>
      <c r="AO19" s="1">
        <v>23013</v>
      </c>
      <c r="AP19" s="1">
        <v>22984</v>
      </c>
      <c r="AQ19" s="1">
        <v>22988</v>
      </c>
      <c r="AR19" s="1">
        <v>22985</v>
      </c>
      <c r="AS19" s="1">
        <v>22980</v>
      </c>
      <c r="AT19" s="1">
        <v>22864</v>
      </c>
      <c r="AU19" s="1">
        <v>22864</v>
      </c>
      <c r="AV19" s="1">
        <v>22864</v>
      </c>
      <c r="AW19" s="1">
        <v>22864</v>
      </c>
      <c r="AX19" s="1">
        <v>22864</v>
      </c>
      <c r="AY19" s="1">
        <v>22864</v>
      </c>
      <c r="AZ19" s="1">
        <v>22849</v>
      </c>
      <c r="BA19" s="1">
        <v>22842</v>
      </c>
      <c r="BB19" s="1">
        <v>22825</v>
      </c>
      <c r="BC19" s="1">
        <v>22823</v>
      </c>
      <c r="BD19" s="1">
        <v>22778</v>
      </c>
      <c r="BE19" s="1">
        <v>22744</v>
      </c>
      <c r="BF19" s="1">
        <v>22739</v>
      </c>
      <c r="BG19" s="1">
        <v>22720</v>
      </c>
    </row>
    <row r="20" spans="1:59" ht="15.95" customHeight="1" x14ac:dyDescent="0.2">
      <c r="B20" s="10"/>
      <c r="C20" s="10"/>
      <c r="D20" s="10"/>
      <c r="E20" s="10"/>
      <c r="F20" s="10"/>
      <c r="G20" s="11"/>
      <c r="H20" s="11"/>
      <c r="I20" s="11"/>
      <c r="J20" s="11"/>
      <c r="K20" s="11"/>
      <c r="L20" s="11"/>
      <c r="M20" s="10"/>
      <c r="N20" s="11"/>
      <c r="O20" s="11"/>
      <c r="P20" s="11"/>
      <c r="Q20" s="11"/>
      <c r="R20" s="11"/>
      <c r="S20" s="11"/>
      <c r="T20" s="11"/>
      <c r="U20" s="10"/>
      <c r="V20" s="10"/>
      <c r="W20" s="49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59" ht="15.95" customHeight="1" x14ac:dyDescent="0.2">
      <c r="A21" s="1" t="s">
        <v>109</v>
      </c>
      <c r="B21" s="12">
        <v>574.49</v>
      </c>
      <c r="C21" s="12"/>
      <c r="D21" s="12">
        <v>567.01</v>
      </c>
      <c r="E21" s="12"/>
      <c r="F21" s="12">
        <f>IF((SUM(B21:B21)-SUM(D21:D21))=0," ",SUM(B21:B21)-SUM(D21:D21))</f>
        <v>7.4800000000000182</v>
      </c>
      <c r="G21" s="13"/>
      <c r="H21" s="13" t="s">
        <v>10</v>
      </c>
      <c r="I21" s="13">
        <v>574.49</v>
      </c>
      <c r="J21" s="13"/>
      <c r="K21" s="13">
        <v>567.01</v>
      </c>
      <c r="L21" s="13"/>
      <c r="M21" s="12">
        <f>IF((SUM(I21:I21)-SUM(K21:K21))=0," ",SUM(I21:I21)-SUM(K21:K21))</f>
        <v>7.4800000000000182</v>
      </c>
      <c r="N21" s="13"/>
      <c r="O21" s="10">
        <f>IF(M21=" ", "-  ", IF(M21=0, "-  ",  IF(K21=0, "-  ", IF((M21/ABS(K21))&gt;2, "&gt; 200 ",  IF(M21/ABS(K21)&lt;-2, "&lt; (200)", IF(AND(M21/ABS(K21)&gt;-0.005, M21/ABS(K21)&lt;0.005), "-  ", ((M21/ABS(K21))*100)))))))</f>
        <v>1.3192007195640321</v>
      </c>
      <c r="P21" s="13"/>
      <c r="Q21" s="13">
        <v>574.49</v>
      </c>
      <c r="R21" s="13"/>
      <c r="S21" s="13">
        <v>567.01</v>
      </c>
      <c r="T21" s="13"/>
      <c r="U21" s="12">
        <f>IF((SUM(Q21:Q21)-SUM(S21:S21))=0," ",SUM(Q21:Q21)-SUM(S21:S21))</f>
        <v>7.4800000000000182</v>
      </c>
      <c r="V21" s="12"/>
      <c r="W21" s="49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">
        <v>574.49</v>
      </c>
      <c r="AK21" s="1">
        <v>574.49</v>
      </c>
      <c r="AL21" s="1">
        <v>574.49</v>
      </c>
      <c r="AM21" s="1">
        <v>574.49</v>
      </c>
      <c r="AN21" s="1">
        <v>574.29</v>
      </c>
      <c r="AO21" s="1">
        <v>573.74</v>
      </c>
      <c r="AP21" s="1">
        <v>572.56000000000006</v>
      </c>
      <c r="AQ21" s="1">
        <v>569.23</v>
      </c>
      <c r="AR21" s="1">
        <v>568.15</v>
      </c>
      <c r="AS21" s="1">
        <v>567.79</v>
      </c>
      <c r="AT21" s="1">
        <v>567.79</v>
      </c>
      <c r="AU21" s="1">
        <v>567.18000000000006</v>
      </c>
      <c r="AV21" s="1">
        <v>567.01</v>
      </c>
      <c r="AW21" s="1">
        <v>566.49</v>
      </c>
      <c r="AX21" s="1">
        <v>565.54</v>
      </c>
      <c r="AY21" s="1">
        <v>563.21</v>
      </c>
      <c r="AZ21" s="1">
        <v>561.26</v>
      </c>
      <c r="BA21" s="1">
        <v>560.64</v>
      </c>
      <c r="BB21" s="1">
        <v>560.32000000000005</v>
      </c>
      <c r="BC21" s="1">
        <v>559.9</v>
      </c>
      <c r="BD21" s="1">
        <v>558.87</v>
      </c>
      <c r="BE21" s="1">
        <v>556.45000000000005</v>
      </c>
      <c r="BF21" s="1">
        <v>555.35</v>
      </c>
      <c r="BG21" s="1">
        <v>554.16</v>
      </c>
    </row>
    <row r="22" spans="1:59" ht="15.95" customHeight="1" x14ac:dyDescent="0.2">
      <c r="A22" s="1" t="s">
        <v>110</v>
      </c>
      <c r="B22" s="31">
        <v>1275.6000000000001</v>
      </c>
      <c r="C22" s="12"/>
      <c r="D22" s="31">
        <v>1269.75</v>
      </c>
      <c r="E22" s="12"/>
      <c r="F22" s="31">
        <f>IF((SUM(B22:B22)-SUM(D22:D22))=0," ",SUM(B22:B22)-SUM(D22:D22))</f>
        <v>5.8500000000001364</v>
      </c>
      <c r="G22" s="13"/>
      <c r="H22" s="13" t="s">
        <v>11</v>
      </c>
      <c r="I22" s="33">
        <v>1275.6000000000001</v>
      </c>
      <c r="J22" s="13"/>
      <c r="K22" s="33">
        <v>1269.75</v>
      </c>
      <c r="L22" s="13"/>
      <c r="M22" s="31">
        <f>IF((SUM(I22:I22)-SUM(K22:K22))=0," ",SUM(I22:I22)-SUM(K22:K22))</f>
        <v>5.8500000000001364</v>
      </c>
      <c r="N22" s="13"/>
      <c r="O22" s="10" t="str">
        <f>IF(M22=" ", "-  ", IF(M22=0, "-  ",  IF(K22=0, "-  ", IF((M22/ABS(K22))&gt;2, "&gt; 200 ",  IF(M22/ABS(K22)&lt;-2, "&lt; (200)", IF(AND(M22/ABS(K22)&gt;-0.005, M22/ABS(K22)&lt;0.005), "-  ", ((M22/ABS(K22))*100)))))))</f>
        <v xml:space="preserve">-  </v>
      </c>
      <c r="P22" s="13"/>
      <c r="Q22" s="33">
        <v>1275.6000000000001</v>
      </c>
      <c r="R22" s="13"/>
      <c r="S22" s="33">
        <v>1269.75</v>
      </c>
      <c r="T22" s="13"/>
      <c r="U22" s="31">
        <f>IF((SUM(Q22:Q22)-SUM(S22:S22))=0," ",SUM(Q22:Q22)-SUM(S22:S22))</f>
        <v>5.8500000000001364</v>
      </c>
      <c r="V22" s="12"/>
      <c r="W22" s="49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">
        <v>1275.6000000000001</v>
      </c>
      <c r="AK22" s="1">
        <v>1275.6000000000001</v>
      </c>
      <c r="AL22" s="1">
        <v>1275.6000000000001</v>
      </c>
      <c r="AM22" s="1">
        <v>1275.6000000000001</v>
      </c>
      <c r="AN22" s="1">
        <v>1270.81</v>
      </c>
      <c r="AO22" s="1">
        <v>1270.1400000000001</v>
      </c>
      <c r="AP22" s="1">
        <v>1270.1000000000001</v>
      </c>
      <c r="AQ22" s="1">
        <v>1269.8900000000001</v>
      </c>
      <c r="AR22" s="1">
        <v>1269.75</v>
      </c>
      <c r="AS22" s="1">
        <v>1270.01</v>
      </c>
      <c r="AT22" s="1">
        <v>1269.68</v>
      </c>
      <c r="AU22" s="1">
        <v>1269.79</v>
      </c>
      <c r="AV22" s="1">
        <v>1269.75</v>
      </c>
      <c r="AW22" s="1">
        <v>1269.76</v>
      </c>
      <c r="AX22" s="1">
        <v>1270.1000000000001</v>
      </c>
      <c r="AY22" s="1">
        <v>1270.1300000000001</v>
      </c>
      <c r="AZ22" s="1">
        <v>1270.03</v>
      </c>
      <c r="BA22" s="1">
        <v>1270</v>
      </c>
      <c r="BB22" s="1">
        <v>1270.02</v>
      </c>
      <c r="BC22" s="1">
        <v>1269.97</v>
      </c>
      <c r="BD22" s="1">
        <v>1270.06</v>
      </c>
      <c r="BE22" s="1">
        <v>1270.05</v>
      </c>
      <c r="BF22" s="1">
        <v>1269.1600000000001</v>
      </c>
      <c r="BG22" s="1">
        <v>1268.97</v>
      </c>
    </row>
    <row r="23" spans="1:59" ht="15.75" customHeight="1" x14ac:dyDescent="0.2">
      <c r="B23" s="12">
        <f>+B21+B22</f>
        <v>1850.0900000000001</v>
      </c>
      <c r="C23" s="12"/>
      <c r="D23" s="12">
        <f>+D21+D22</f>
        <v>1836.76</v>
      </c>
      <c r="E23" s="12"/>
      <c r="F23" s="12">
        <f>IF((SUM(B23:B23)-SUM(D23:D23))=0," ",SUM(B23:B23)-SUM(D23:D23))</f>
        <v>13.330000000000155</v>
      </c>
      <c r="G23" s="13"/>
      <c r="H23" s="13" t="s">
        <v>12</v>
      </c>
      <c r="I23" s="13">
        <f>+I21+I22</f>
        <v>1850.0900000000001</v>
      </c>
      <c r="J23" s="13"/>
      <c r="K23" s="13">
        <f>+K21+K22</f>
        <v>1836.76</v>
      </c>
      <c r="L23" s="13"/>
      <c r="M23" s="12">
        <f>IF((SUM(I23:I23)-SUM(K23:K23))=0," ",SUM(I23:I23)-SUM(K23:K23))</f>
        <v>13.330000000000155</v>
      </c>
      <c r="N23" s="13"/>
      <c r="O23" s="10">
        <f>IF(M23=" ", "-  ", IF(M23=0, "-  ",  IF(K23=0, "-  ", IF((M23/ABS(K23))&gt;2, "&gt; 200 ",  IF(M23/ABS(K23)&lt;-2, "&lt; (200)", IF(AND(M23/ABS(K23)&gt;-0.005, M23/ABS(K23)&lt;0.005), "-  ", ((M23/ABS(K23))*100)))))))</f>
        <v>0.72573444543653798</v>
      </c>
      <c r="P23" s="13"/>
      <c r="Q23" s="13">
        <f>+Q21+Q22</f>
        <v>1850.0900000000001</v>
      </c>
      <c r="R23" s="13"/>
      <c r="S23" s="13">
        <f>+S21+S22</f>
        <v>1836.76</v>
      </c>
      <c r="T23" s="13"/>
      <c r="U23" s="12">
        <f>IF((SUM(Q23:Q23)-SUM(S23:S23))=0," ",SUM(Q23:Q23)-SUM(S23:S23))</f>
        <v>13.330000000000155</v>
      </c>
      <c r="V23" s="12"/>
      <c r="W23" s="49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59" ht="15.95" customHeight="1" x14ac:dyDescent="0.2">
      <c r="B24" s="12"/>
      <c r="C24" s="12"/>
      <c r="D24" s="12"/>
      <c r="E24" s="12"/>
      <c r="F24" s="12"/>
      <c r="G24" s="13"/>
      <c r="H24" s="13"/>
      <c r="I24" s="13"/>
      <c r="J24" s="13"/>
      <c r="K24" s="13"/>
      <c r="L24" s="13"/>
      <c r="M24" s="12"/>
      <c r="N24" s="13"/>
      <c r="O24" s="13"/>
      <c r="P24" s="13"/>
      <c r="Q24" s="13"/>
      <c r="R24" s="13"/>
      <c r="S24" s="13"/>
      <c r="T24" s="13"/>
      <c r="U24" s="12"/>
      <c r="V24" s="12"/>
      <c r="W24" s="49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59" ht="15.95" customHeight="1" x14ac:dyDescent="0.2">
      <c r="A25" s="1" t="s">
        <v>165</v>
      </c>
      <c r="B25" s="12">
        <v>92.22</v>
      </c>
      <c r="C25" s="12"/>
      <c r="D25" s="12">
        <v>92.22</v>
      </c>
      <c r="E25" s="12"/>
      <c r="F25" s="12" t="str">
        <f>IF((SUM(B25:B25)-SUM(D25:D25))=0," ",SUM(B25:B25)-SUM(D25:D25))</f>
        <v xml:space="preserve"> </v>
      </c>
      <c r="G25" s="13"/>
      <c r="H25" s="13" t="s">
        <v>166</v>
      </c>
      <c r="I25" s="13">
        <v>92.22</v>
      </c>
      <c r="J25" s="13"/>
      <c r="K25" s="13">
        <v>92.22</v>
      </c>
      <c r="L25" s="13"/>
      <c r="M25" s="12" t="str">
        <f>IF((SUM(I25:I25)-SUM(K25:K25))=0," ",SUM(I25:I25)-SUM(K25:K25))</f>
        <v xml:space="preserve"> </v>
      </c>
      <c r="N25" s="13"/>
      <c r="O25" s="10" t="str">
        <f>IF(M25=" ", "-  ", IF(M25=0, "-  ",  IF(K25=0, "-  ", IF((M25/ABS(K25))&gt;2, "&gt; 200 ",  IF(M25/ABS(K25)&lt;-2, "&lt; (200)", IF(AND(M25/ABS(K25)&gt;-0.005, M25/ABS(K25)&lt;0.005), "-  ", ((M25/ABS(K25))*100)))))))</f>
        <v xml:space="preserve">-  </v>
      </c>
      <c r="P25" s="13"/>
      <c r="Q25" s="13">
        <v>92.22</v>
      </c>
      <c r="R25" s="13"/>
      <c r="S25" s="13">
        <v>92.22</v>
      </c>
      <c r="T25" s="13"/>
      <c r="U25" s="12" t="str">
        <f>IF((SUM(Q25:Q25)-SUM(S25:S25))=0," ",SUM(Q25:Q25)-SUM(S25:S25))</f>
        <v xml:space="preserve"> </v>
      </c>
      <c r="V25" s="12"/>
      <c r="W25" s="49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">
        <v>92.22</v>
      </c>
      <c r="AK25" s="1">
        <v>92.22</v>
      </c>
      <c r="AL25" s="1">
        <v>92.22</v>
      </c>
      <c r="AM25" s="1">
        <v>92.22</v>
      </c>
      <c r="AN25" s="1">
        <v>92.22</v>
      </c>
      <c r="AO25" s="1">
        <v>92.22</v>
      </c>
      <c r="AP25" s="1">
        <v>92.22</v>
      </c>
      <c r="AQ25" s="1">
        <v>92.22</v>
      </c>
      <c r="AR25" s="1">
        <v>92.22</v>
      </c>
      <c r="AS25" s="1">
        <v>92.22</v>
      </c>
      <c r="AT25" s="1">
        <v>92.22</v>
      </c>
      <c r="AU25" s="1">
        <v>92.22</v>
      </c>
      <c r="AV25" s="1">
        <v>92.22</v>
      </c>
      <c r="AW25" s="1">
        <v>92.22</v>
      </c>
      <c r="AX25" s="1">
        <v>92.22</v>
      </c>
      <c r="AY25" s="1">
        <v>92.22</v>
      </c>
      <c r="AZ25" s="1">
        <v>92.22</v>
      </c>
      <c r="BA25" s="1">
        <v>92.22</v>
      </c>
      <c r="BB25" s="1">
        <v>92.22</v>
      </c>
      <c r="BC25" s="1">
        <v>92.22</v>
      </c>
      <c r="BD25" s="1">
        <v>92.22</v>
      </c>
      <c r="BE25" s="1">
        <v>92.22</v>
      </c>
      <c r="BF25" s="1">
        <v>92.22</v>
      </c>
      <c r="BG25" s="1">
        <v>92.22</v>
      </c>
    </row>
    <row r="26" spans="1:59" ht="15.95" customHeight="1" x14ac:dyDescent="0.2">
      <c r="A26" s="1" t="s">
        <v>164</v>
      </c>
      <c r="B26" s="12">
        <v>73.650000000000006</v>
      </c>
      <c r="C26" s="12"/>
      <c r="D26" s="12">
        <v>73.650000000000006</v>
      </c>
      <c r="E26" s="12"/>
      <c r="F26" s="12" t="str">
        <f>IF((SUM(B26:B26)-SUM(D26:D26))=0," ",SUM(B26:B26)-SUM(D26:D26))</f>
        <v xml:space="preserve"> </v>
      </c>
      <c r="G26" s="13"/>
      <c r="H26" s="13" t="s">
        <v>167</v>
      </c>
      <c r="I26" s="13">
        <v>73.650000000000006</v>
      </c>
      <c r="J26" s="13"/>
      <c r="K26" s="13">
        <v>73.650000000000006</v>
      </c>
      <c r="L26" s="13"/>
      <c r="M26" s="12" t="str">
        <f>IF((SUM(I26:I26)-SUM(K26:K26))=0," ",SUM(I26:I26)-SUM(K26:K26))</f>
        <v xml:space="preserve"> </v>
      </c>
      <c r="N26" s="13"/>
      <c r="O26" s="10" t="str">
        <f>IF(M26=" ", "-  ", IF(M26=0, "-  ",  IF(K26=0, "-  ", IF((M26/ABS(K26))&gt;2, "&gt; 200 ",  IF(M26/ABS(K26)&lt;-2, "&lt; (200)", IF(AND(M26/ABS(K26)&gt;-0.005, M26/ABS(K26)&lt;0.005), "-  ", ((M26/ABS(K26))*100)))))))</f>
        <v xml:space="preserve">-  </v>
      </c>
      <c r="P26" s="13"/>
      <c r="Q26" s="13">
        <v>73.650000000000006</v>
      </c>
      <c r="R26" s="13"/>
      <c r="S26" s="13">
        <v>73.650000000000006</v>
      </c>
      <c r="T26" s="13"/>
      <c r="U26" s="12" t="str">
        <f>IF((SUM(Q26:Q26)-SUM(S26:S26))=0," ",SUM(Q26:Q26)-SUM(S26:S26))</f>
        <v xml:space="preserve"> </v>
      </c>
      <c r="V26" s="12"/>
      <c r="W26" s="49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">
        <v>73.650000000000006</v>
      </c>
      <c r="AK26" s="1">
        <v>73.650000000000006</v>
      </c>
      <c r="AL26" s="1">
        <v>73.650000000000006</v>
      </c>
      <c r="AM26" s="1">
        <v>73.650000000000006</v>
      </c>
      <c r="AN26" s="1">
        <v>73.650000000000006</v>
      </c>
      <c r="AO26" s="1">
        <v>73.650000000000006</v>
      </c>
      <c r="AP26" s="1">
        <v>73.650000000000006</v>
      </c>
      <c r="AQ26" s="1">
        <v>73.650000000000006</v>
      </c>
      <c r="AR26" s="1">
        <v>73.650000000000006</v>
      </c>
      <c r="AS26" s="1">
        <v>73.650000000000006</v>
      </c>
      <c r="AT26" s="1">
        <v>73.650000000000006</v>
      </c>
      <c r="AU26" s="1">
        <v>73.650000000000006</v>
      </c>
      <c r="AV26" s="1">
        <v>73.650000000000006</v>
      </c>
      <c r="AW26" s="1">
        <v>73.650000000000006</v>
      </c>
      <c r="AX26" s="1">
        <v>73.650000000000006</v>
      </c>
      <c r="AY26" s="1">
        <v>73.650000000000006</v>
      </c>
      <c r="AZ26" s="1">
        <v>73.650000000000006</v>
      </c>
      <c r="BA26" s="1">
        <v>73.650000000000006</v>
      </c>
      <c r="BB26" s="1">
        <v>73.650000000000006</v>
      </c>
      <c r="BC26" s="1">
        <v>73.650000000000006</v>
      </c>
      <c r="BD26" s="1">
        <v>73.650000000000006</v>
      </c>
      <c r="BE26" s="1">
        <v>73.650000000000006</v>
      </c>
      <c r="BF26" s="1">
        <v>73.650000000000006</v>
      </c>
      <c r="BG26" s="1">
        <v>73.650000000000006</v>
      </c>
    </row>
    <row r="27" spans="1:59" ht="15.95" customHeight="1" x14ac:dyDescent="0.2">
      <c r="A27" s="1" t="s">
        <v>163</v>
      </c>
      <c r="B27" s="31">
        <v>44.2</v>
      </c>
      <c r="C27" s="12"/>
      <c r="D27" s="31">
        <v>44.2</v>
      </c>
      <c r="E27" s="12"/>
      <c r="F27" s="31" t="str">
        <f>IF((SUM(B27:B27)-SUM(D27:D27))=0," ",SUM(B27:B27)-SUM(D27:D27))</f>
        <v xml:space="preserve"> </v>
      </c>
      <c r="G27" s="13"/>
      <c r="H27" s="13" t="s">
        <v>168</v>
      </c>
      <c r="I27" s="33">
        <v>44.2</v>
      </c>
      <c r="J27" s="13"/>
      <c r="K27" s="33">
        <v>44.2</v>
      </c>
      <c r="L27" s="13"/>
      <c r="M27" s="12" t="str">
        <f>IF((SUM(I27:I27)-SUM(K27:K27))=0," ",SUM(I27:I27)-SUM(K27:K27))</f>
        <v xml:space="preserve"> </v>
      </c>
      <c r="N27" s="13"/>
      <c r="O27" s="10" t="str">
        <f>IF(M27=" ", "-  ", IF(M27=0, "-  ",  IF(K27=0, "-  ", IF((M27/ABS(K27))&gt;2, "&gt; 200 ",  IF(M27/ABS(K27)&lt;-2, "&lt; (200)", IF(AND(M27/ABS(K27)&gt;-0.005, M27/ABS(K27)&lt;0.005), "-  ", ((M27/ABS(K27))*100)))))))</f>
        <v xml:space="preserve">-  </v>
      </c>
      <c r="P27" s="13"/>
      <c r="Q27" s="33">
        <v>44.2</v>
      </c>
      <c r="R27" s="13"/>
      <c r="S27" s="33">
        <v>44.2</v>
      </c>
      <c r="T27" s="13"/>
      <c r="U27" s="31" t="str">
        <f>IF((SUM(Q27:Q27)-SUM(S27:S27))=0," ",SUM(Q27:Q27)-SUM(S27:S27))</f>
        <v xml:space="preserve"> </v>
      </c>
      <c r="V27" s="12"/>
      <c r="W27" s="49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">
        <v>44.2</v>
      </c>
      <c r="AK27" s="1">
        <v>44.2</v>
      </c>
      <c r="AL27" s="1">
        <v>44.2</v>
      </c>
      <c r="AM27" s="1">
        <v>44.2</v>
      </c>
      <c r="AN27" s="1">
        <v>44.2</v>
      </c>
      <c r="AO27" s="1">
        <v>44.2</v>
      </c>
      <c r="AP27" s="1">
        <v>44.2</v>
      </c>
      <c r="AQ27" s="1">
        <v>44.2</v>
      </c>
      <c r="AR27" s="1">
        <v>44.2</v>
      </c>
      <c r="AS27" s="1">
        <v>44.2</v>
      </c>
      <c r="AT27" s="1">
        <v>44.2</v>
      </c>
      <c r="AU27" s="1">
        <v>44.2</v>
      </c>
      <c r="AV27" s="1">
        <v>44.2</v>
      </c>
      <c r="AW27" s="1">
        <v>44.2</v>
      </c>
      <c r="AX27" s="1">
        <v>44.2</v>
      </c>
      <c r="AY27" s="1">
        <v>44.21</v>
      </c>
      <c r="AZ27" s="1">
        <v>44.21</v>
      </c>
      <c r="BA27" s="1">
        <v>44.21</v>
      </c>
      <c r="BB27" s="1">
        <v>44.21</v>
      </c>
      <c r="BC27" s="1">
        <v>44.21</v>
      </c>
      <c r="BD27" s="1">
        <v>44.21</v>
      </c>
      <c r="BE27" s="1">
        <v>44.21</v>
      </c>
      <c r="BF27" s="1">
        <v>44.21</v>
      </c>
      <c r="BG27" s="1">
        <v>44.21</v>
      </c>
    </row>
    <row r="28" spans="1:59" ht="15.95" customHeight="1" x14ac:dyDescent="0.2">
      <c r="B28" s="12">
        <f>B25+B26+B27</f>
        <v>210.07</v>
      </c>
      <c r="C28" s="12"/>
      <c r="D28" s="12">
        <f>D25+D26+D27</f>
        <v>210.07</v>
      </c>
      <c r="E28" s="12"/>
      <c r="F28" s="12" t="str">
        <f>IF((SUM(B28:B28)-SUM(D28:D28))=0," ",SUM(B28:B28)-SUM(D28:D28))</f>
        <v xml:space="preserve"> </v>
      </c>
      <c r="G28" s="13"/>
      <c r="H28" s="13" t="s">
        <v>180</v>
      </c>
      <c r="I28" s="12">
        <f>I25+I26+I27</f>
        <v>210.07</v>
      </c>
      <c r="J28" s="13"/>
      <c r="K28" s="12">
        <f>K25+K26+K27</f>
        <v>210.07</v>
      </c>
      <c r="L28" s="13"/>
      <c r="M28" s="12" t="str">
        <f>IF((SUM(I28:I28)-SUM(K28:K28))=0," ",SUM(I28:I28)-SUM(K28:K28))</f>
        <v xml:space="preserve"> </v>
      </c>
      <c r="N28" s="13"/>
      <c r="O28" s="10" t="str">
        <f>IF(M28=" ", "-  ", IF(M28=0, "-  ",  IF(K28=0, "-  ", IF((M28/ABS(K28))&gt;2, "&gt; 200 ",  IF(M28/ABS(K28)&lt;-2, "&lt; (200)", IF(AND(M28/ABS(K28)&gt;-0.005, M28/ABS(K28)&lt;0.005), "-  ", ((M28/ABS(K28))*100)))))))</f>
        <v xml:space="preserve">-  </v>
      </c>
      <c r="P28" s="13"/>
      <c r="Q28" s="12">
        <f>Q25+Q26+Q27</f>
        <v>210.07</v>
      </c>
      <c r="R28" s="13"/>
      <c r="S28" s="12">
        <f>S25+S26+S27</f>
        <v>210.07</v>
      </c>
      <c r="T28" s="13"/>
      <c r="U28" s="12" t="str">
        <f>IF((SUM(Q28:Q28)-SUM(S28:S28))=0," ",SUM(Q28:Q28)-SUM(S28:S28))</f>
        <v xml:space="preserve"> </v>
      </c>
      <c r="V28" s="12"/>
      <c r="W28" s="49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59" ht="15.95" customHeight="1" x14ac:dyDescent="0.2">
      <c r="B29" s="12"/>
      <c r="C29" s="12"/>
      <c r="D29" s="12"/>
      <c r="E29" s="12"/>
      <c r="F29" s="12"/>
      <c r="G29" s="13"/>
      <c r="H29" s="13"/>
      <c r="I29" s="13"/>
      <c r="J29" s="13"/>
      <c r="K29" s="13"/>
      <c r="L29" s="13"/>
      <c r="M29" s="12"/>
      <c r="N29" s="13"/>
      <c r="O29" s="13"/>
      <c r="P29" s="13"/>
      <c r="Q29" s="13"/>
      <c r="R29" s="13"/>
      <c r="S29" s="13"/>
      <c r="T29" s="13"/>
      <c r="U29" s="12"/>
      <c r="V29" s="12"/>
      <c r="W29" s="49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59" ht="15.75" customHeight="1" x14ac:dyDescent="0.2">
      <c r="B30" s="10">
        <f>ROUND(IF(B64=0,"0",B64),0)</f>
        <v>677000</v>
      </c>
      <c r="C30" s="10"/>
      <c r="D30" s="10">
        <f>ROUND(IF(D64=0,"0",D64),0)</f>
        <v>636000</v>
      </c>
      <c r="E30" s="10"/>
      <c r="F30" s="10">
        <f>IF((SUM(B30:B30)-SUM(D30:D30))=0," ",SUM(B30:B30)-SUM(D30:D30))</f>
        <v>41000</v>
      </c>
      <c r="G30" s="11"/>
      <c r="H30" s="11" t="s">
        <v>13</v>
      </c>
      <c r="I30" s="11">
        <f>I69</f>
        <v>776000</v>
      </c>
      <c r="J30" s="11"/>
      <c r="K30" s="11">
        <f>K69</f>
        <v>721000</v>
      </c>
      <c r="L30" s="11"/>
      <c r="M30" s="10">
        <f>IF((SUM(I30:I30)-SUM(K30:K30))=0," ",SUM(I30:I30)-SUM(K30:K30))</f>
        <v>55000</v>
      </c>
      <c r="N30" s="11"/>
      <c r="O30" s="10">
        <f>IF(M30=" ", "-  ", IF(M30=0, "-  ",  IF(K30=0, "-  ", IF((M30/ABS(K30))&gt;2, "&gt; 200 ",  IF(M30/ABS(K30)&lt;-2, "&lt; (200)", IF(AND(M30/ABS(K30)&gt;-0.005, M30/ABS(K30)&lt;0.005), "-  ", ((M30/ABS(K30))*100)))))))</f>
        <v>7.6282940360610256</v>
      </c>
      <c r="P30" s="11"/>
      <c r="Q30" s="11">
        <f>MAX(AJ64:AU64)</f>
        <v>776000</v>
      </c>
      <c r="R30" s="11"/>
      <c r="S30" s="11">
        <f>MAX(AV64:BG64)</f>
        <v>721000</v>
      </c>
      <c r="T30" s="11"/>
      <c r="U30" s="10">
        <f>IF((SUM(Q30:Q30)-SUM(S30:S30))=0," ",SUM(Q30:Q30)-SUM(S30:S30))</f>
        <v>55000</v>
      </c>
      <c r="V30" s="10"/>
      <c r="W30" s="49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59" ht="15.95" customHeight="1" x14ac:dyDescent="0.2">
      <c r="B31" s="44">
        <f>ROUND((((B95/B86)/B30)*100),2)</f>
        <v>57.78</v>
      </c>
      <c r="C31" s="12"/>
      <c r="D31" s="44">
        <f>ROUND((((D95/D86)/D30)*100),2)</f>
        <v>62.75</v>
      </c>
      <c r="E31" s="12"/>
      <c r="F31" s="44">
        <f>IF((SUM(B31:B31)-SUM(D31:D31))=0," ",SUM(B31:B31)-SUM(D31:D31))</f>
        <v>-4.9699999999999989</v>
      </c>
      <c r="G31" s="13"/>
      <c r="H31" s="13" t="s">
        <v>14</v>
      </c>
      <c r="I31" s="44">
        <f>ROUND((((I95/I86)/I30)*100),2)</f>
        <v>48.52</v>
      </c>
      <c r="J31" s="12"/>
      <c r="K31" s="44">
        <f>ROUND((((K95/K86)/K30)*100),2)</f>
        <v>50.61</v>
      </c>
      <c r="L31" s="13"/>
      <c r="M31" s="44">
        <f>IF((SUM(I31:I31)-SUM(K31:K31))=0," ",SUM(I31:I31)-SUM(K31:K31))</f>
        <v>-2.0899999999999963</v>
      </c>
      <c r="N31" s="13"/>
      <c r="O31" s="10">
        <f>IF(M31=" ", "-  ", IF(M31=0, "-  ",  IF(K31=0, "-  ", IF((M31/ABS(K31))&gt;2, "&gt; 200 ",  IF(M31/ABS(K31)&lt;-2, "&lt; (200)", IF(AND(M31/ABS(K31)&gt;-0.005, M31/ABS(K31)&lt;0.005), "-  ", ((M31/ABS(K31))*100)))))))</f>
        <v>-4.1296186524402225</v>
      </c>
      <c r="P31" s="13"/>
      <c r="Q31" s="44">
        <f>ROUND((((Q95/Q86)/Q30)*100),2)</f>
        <v>48.52</v>
      </c>
      <c r="R31" s="13"/>
      <c r="S31" s="44">
        <f>ROUND((((S95/S86)/S30)*100),2)</f>
        <v>50.61</v>
      </c>
      <c r="T31" s="13"/>
      <c r="U31" s="44">
        <f>IF((SUM(Q31:Q31)-SUM(S31:S31))=0," ",SUM(Q31:Q31)-SUM(S31:S31))</f>
        <v>-2.0899999999999963</v>
      </c>
      <c r="V31" s="44"/>
      <c r="W31" s="49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59" ht="15.95" customHeight="1" x14ac:dyDescent="0.2">
      <c r="A32" s="1" t="s">
        <v>112</v>
      </c>
      <c r="B32" s="10">
        <v>197</v>
      </c>
      <c r="C32" s="10"/>
      <c r="D32" s="10">
        <v>270</v>
      </c>
      <c r="E32" s="10"/>
      <c r="F32" s="10">
        <f>IF((SUM(B32:B32)-SUM(D32:D32))=0," ",SUM(B32:B32)-SUM(D32:D32))</f>
        <v>-73</v>
      </c>
      <c r="G32" s="11"/>
      <c r="H32" s="11" t="s">
        <v>57</v>
      </c>
      <c r="I32" s="11">
        <v>1790</v>
      </c>
      <c r="J32" s="11"/>
      <c r="K32" s="11">
        <v>1574</v>
      </c>
      <c r="L32" s="11"/>
      <c r="M32" s="10">
        <f>IF((SUM(I32:I32)-SUM(K32:K32))=0," ",SUM(I32:I32)-SUM(K32:K32))</f>
        <v>216</v>
      </c>
      <c r="N32" s="11"/>
      <c r="O32" s="10">
        <f>IF(M32=" ", "-  ", IF(M32=0, "-  ",  IF(K32=0, "-  ", IF((M32/ABS(K32))&gt;2, "&gt; 200 ",  IF(M32/ABS(K32)&lt;-2, "&lt; (200)", IF(AND(M32/ABS(K32)&gt;-0.005, M32/ABS(K32)&lt;0.005), "-  ", ((M32/ABS(K32))*100)))))))</f>
        <v>13.722998729351971</v>
      </c>
      <c r="P32" s="11"/>
      <c r="Q32" s="11">
        <v>1790</v>
      </c>
      <c r="R32" s="11"/>
      <c r="S32" s="11">
        <v>1574</v>
      </c>
      <c r="T32" s="11"/>
      <c r="U32" s="10">
        <f>IF((SUM(Q32:Q32)-SUM(S32:S32))=0," ",SUM(Q32:Q32)-SUM(S32:S32))</f>
        <v>216</v>
      </c>
      <c r="V32" s="10"/>
      <c r="W32" s="49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">
        <v>197</v>
      </c>
      <c r="AK32" s="1">
        <v>435</v>
      </c>
      <c r="AL32" s="1">
        <v>581</v>
      </c>
      <c r="AM32" s="1">
        <v>350</v>
      </c>
      <c r="AN32" s="1">
        <v>151</v>
      </c>
      <c r="AO32" s="1">
        <v>24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52</v>
      </c>
      <c r="AV32" s="1">
        <v>270</v>
      </c>
      <c r="AW32" s="1">
        <v>451</v>
      </c>
      <c r="AX32" s="1">
        <v>398</v>
      </c>
      <c r="AY32" s="1">
        <v>322</v>
      </c>
      <c r="AZ32" s="1">
        <v>73</v>
      </c>
      <c r="BA32" s="1">
        <v>14</v>
      </c>
      <c r="BB32" s="1">
        <v>0</v>
      </c>
      <c r="BC32" s="1">
        <v>0</v>
      </c>
      <c r="BD32" s="1">
        <v>0</v>
      </c>
      <c r="BE32" s="1">
        <v>0</v>
      </c>
      <c r="BF32" s="1">
        <v>4</v>
      </c>
      <c r="BG32" s="1">
        <v>42</v>
      </c>
    </row>
    <row r="33" spans="1:59" ht="15.95" customHeight="1" x14ac:dyDescent="0.2">
      <c r="A33" s="1" t="s">
        <v>113</v>
      </c>
      <c r="B33" s="10">
        <v>196</v>
      </c>
      <c r="C33" s="10"/>
      <c r="D33" s="10">
        <v>196</v>
      </c>
      <c r="E33" s="10"/>
      <c r="F33" s="10" t="str">
        <f>IF((SUM(B33:B33)-SUM(D33:D33))=0," ",SUM(B33:B33)-SUM(D33:D33))</f>
        <v xml:space="preserve"> </v>
      </c>
      <c r="G33" s="11"/>
      <c r="H33" s="11" t="s">
        <v>58</v>
      </c>
      <c r="I33" s="11">
        <v>1540</v>
      </c>
      <c r="J33" s="11"/>
      <c r="K33" s="11">
        <v>1519</v>
      </c>
      <c r="L33" s="11"/>
      <c r="M33" s="10">
        <f>IF((SUM(I33:I33)-SUM(K33:K33))=0," ",SUM(I33:I33)-SUM(K33:K33))</f>
        <v>21</v>
      </c>
      <c r="N33" s="11"/>
      <c r="O33" s="10">
        <f>IF(M33=" ", "-  ", IF(M33=0, "-  ",  IF(K33=0, "-  ", IF((M33/ABS(K33))&gt;2, "&gt; 200 ",  IF(M33/ABS(K33)&lt;-2, "&lt; (200)", IF(AND(M33/ABS(K33)&gt;-0.005, M33/ABS(K33)&lt;0.005), "-  ", ((M33/ABS(K33))*100)))))))</f>
        <v>1.3824884792626728</v>
      </c>
      <c r="P33" s="11"/>
      <c r="Q33" s="11">
        <v>1540</v>
      </c>
      <c r="R33" s="11"/>
      <c r="S33" s="11">
        <v>1519</v>
      </c>
      <c r="T33" s="11"/>
      <c r="U33" s="10">
        <f>IF((SUM(Q33:Q33)-SUM(S33:S33))=0," ",SUM(Q33:Q33)-SUM(S33:S33))</f>
        <v>21</v>
      </c>
      <c r="V33" s="10"/>
      <c r="W33" s="49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">
        <v>196</v>
      </c>
      <c r="AK33" s="1">
        <v>410</v>
      </c>
      <c r="AL33" s="1">
        <v>440</v>
      </c>
      <c r="AM33" s="1">
        <v>302</v>
      </c>
      <c r="AN33" s="1">
        <v>116</v>
      </c>
      <c r="AO33" s="1">
        <v>27</v>
      </c>
      <c r="AP33" s="1">
        <v>5</v>
      </c>
      <c r="AQ33" s="1">
        <v>1</v>
      </c>
      <c r="AR33" s="1">
        <v>0</v>
      </c>
      <c r="AS33" s="1">
        <v>0</v>
      </c>
      <c r="AT33" s="1">
        <v>3</v>
      </c>
      <c r="AU33" s="1">
        <v>40</v>
      </c>
      <c r="AV33" s="1">
        <v>196</v>
      </c>
      <c r="AW33" s="1">
        <v>410</v>
      </c>
      <c r="AX33" s="1">
        <v>440</v>
      </c>
      <c r="AY33" s="1">
        <v>302</v>
      </c>
      <c r="AZ33" s="1">
        <v>116</v>
      </c>
      <c r="BA33" s="1">
        <v>22</v>
      </c>
      <c r="BB33" s="1">
        <v>3</v>
      </c>
      <c r="BC33" s="1">
        <v>0</v>
      </c>
      <c r="BD33" s="1">
        <v>0</v>
      </c>
      <c r="BE33" s="1">
        <v>0</v>
      </c>
      <c r="BF33" s="1">
        <v>2</v>
      </c>
      <c r="BG33" s="1">
        <v>28</v>
      </c>
    </row>
    <row r="34" spans="1:59" ht="15.95" customHeight="1" x14ac:dyDescent="0.2">
      <c r="B34" s="10">
        <f>ROUND((B179/B185*1000000),0)</f>
        <v>10378</v>
      </c>
      <c r="C34" s="10"/>
      <c r="D34" s="10">
        <f>ROUND((D179/D185*1000000),0)</f>
        <v>10429</v>
      </c>
      <c r="E34" s="10"/>
      <c r="F34" s="10">
        <f>IF((SUM(B34:B34)-SUM(D34:D34))=0," ",SUM(B34:B34)-SUM(D34:D34))</f>
        <v>-51</v>
      </c>
      <c r="G34" s="11"/>
      <c r="H34" s="11" t="s">
        <v>142</v>
      </c>
      <c r="I34" s="10">
        <f>ROUND((I179/I185*1000000),0)</f>
        <v>10610</v>
      </c>
      <c r="J34" s="11"/>
      <c r="K34" s="10">
        <f>ROUND((K179/K185*1000000),0)</f>
        <v>10562</v>
      </c>
      <c r="L34" s="11"/>
      <c r="M34" s="10">
        <f>IF((SUM(I34:I34)-SUM(K34:K34))=0," ",SUM(I34:I34)-SUM(K34:K34))</f>
        <v>48</v>
      </c>
      <c r="N34" s="11"/>
      <c r="O34" s="10" t="str">
        <f>IF(M34=" ", "-  ", IF(M34=0, "-  ",  IF(K34=0, "-  ", IF((M34/ABS(K34))&gt;2, "&gt; 200 ",  IF(M34/ABS(K34)&lt;-2, "&lt; (200)", IF(AND(M34/ABS(K34)&gt;-0.005, M34/ABS(K34)&lt;0.005), "-  ", ((M34/ABS(K34))*100)))))))</f>
        <v xml:space="preserve">-  </v>
      </c>
      <c r="P34" s="11"/>
      <c r="Q34" s="10">
        <f>ROUND((Q179/Q185*1000000),0)</f>
        <v>10610</v>
      </c>
      <c r="R34" s="11"/>
      <c r="S34" s="10">
        <f>ROUND((S179/S185*1000000),0)</f>
        <v>10562</v>
      </c>
      <c r="T34" s="11"/>
      <c r="U34" s="10">
        <f>IF((SUM(Q34:Q34)-SUM(S34:S34))=0," ",SUM(Q34:Q34)-SUM(S34:S34))</f>
        <v>48</v>
      </c>
      <c r="V34" s="10"/>
      <c r="W34" s="49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59" ht="15.95" customHeight="1" x14ac:dyDescent="0.2">
      <c r="B35" s="10"/>
      <c r="C35" s="10"/>
      <c r="D35" s="10"/>
      <c r="E35" s="10"/>
      <c r="F35" s="10"/>
      <c r="G35" s="11"/>
      <c r="H35" s="11"/>
      <c r="I35" s="11"/>
      <c r="J35" s="11"/>
      <c r="K35" s="11"/>
      <c r="L35" s="11"/>
      <c r="M35" s="10"/>
      <c r="N35" s="11"/>
      <c r="O35" s="11"/>
      <c r="P35" s="11"/>
      <c r="Q35" s="11"/>
      <c r="R35" s="11"/>
      <c r="S35" s="11"/>
      <c r="T35" s="11"/>
      <c r="U35" s="10"/>
      <c r="V35" s="10"/>
      <c r="W35" s="49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59" ht="15.95" customHeight="1" x14ac:dyDescent="0.2">
      <c r="B36" s="10"/>
      <c r="C36" s="10"/>
      <c r="D36" s="10"/>
      <c r="E36" s="10"/>
      <c r="F36" s="10"/>
      <c r="G36" s="11"/>
      <c r="H36" s="11" t="s">
        <v>43</v>
      </c>
      <c r="I36" s="11"/>
      <c r="J36" s="11"/>
      <c r="K36" s="11"/>
      <c r="L36" s="11"/>
      <c r="M36" s="10"/>
      <c r="N36" s="11"/>
      <c r="O36" s="11"/>
      <c r="P36" s="11"/>
      <c r="Q36" s="11"/>
      <c r="R36" s="11"/>
      <c r="S36" s="11"/>
      <c r="T36" s="11"/>
      <c r="U36" s="10"/>
      <c r="V36" s="10"/>
      <c r="W36" s="49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59" ht="15.95" customHeight="1" x14ac:dyDescent="0.2">
      <c r="A37" s="1" t="s">
        <v>114</v>
      </c>
      <c r="B37" s="12">
        <v>-13.9</v>
      </c>
      <c r="C37" s="12"/>
      <c r="D37" s="12">
        <v>-18.7</v>
      </c>
      <c r="E37" s="12"/>
      <c r="F37" s="12">
        <f>IF((SUM(B37:B37)-SUM(D37:D37))=0," ",SUM(B37:B37)-SUM(D37:D37))</f>
        <v>4.7999999999999989</v>
      </c>
      <c r="G37" s="13"/>
      <c r="H37" s="13" t="s">
        <v>15</v>
      </c>
      <c r="I37" s="13">
        <v>-13.9</v>
      </c>
      <c r="J37" s="13"/>
      <c r="K37" s="13">
        <v>-18.7</v>
      </c>
      <c r="L37" s="13"/>
      <c r="M37" s="12">
        <f>IF((SUM(I37:I37)-SUM(K37:K37))=0," ",SUM(I37:I37)-SUM(K37:K37))</f>
        <v>4.7999999999999989</v>
      </c>
      <c r="N37" s="13"/>
      <c r="O37" s="10">
        <f>IF(M37=" ", "-  ", IF(M37=0, "-  ",  IF(K37=0, "-  ", IF((M37/ABS(K37))&gt;2, "&gt; 200 ",  IF(M37/ABS(K37)&lt;-2, "&lt; (200)", IF(AND(M37/ABS(K37)&gt;-0.005, M37/ABS(K37)&lt;0.005), "-  ", ((M37/ABS(K37))*100)))))))</f>
        <v>25.668449197860959</v>
      </c>
      <c r="P37" s="13"/>
      <c r="Q37" s="13">
        <v>-13.9</v>
      </c>
      <c r="R37" s="13"/>
      <c r="S37" s="13">
        <v>-18.7</v>
      </c>
      <c r="T37" s="13"/>
      <c r="U37" s="12">
        <f>IF((SUM(Q37:Q37)-SUM(S37:S37))=0," ",SUM(Q37:Q37)-SUM(S37:S37))</f>
        <v>4.7999999999999989</v>
      </c>
      <c r="V37" s="12"/>
      <c r="W37" s="49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">
        <v>-13.9</v>
      </c>
      <c r="AK37" s="1">
        <v>-13.9</v>
      </c>
      <c r="AL37" s="1">
        <v>-13.9</v>
      </c>
      <c r="AM37" s="1">
        <v>-13.9</v>
      </c>
      <c r="AN37" s="1">
        <v>-13.9</v>
      </c>
      <c r="AO37" s="1">
        <v>-13.9</v>
      </c>
      <c r="AP37" s="1">
        <v>-18.100000000000001</v>
      </c>
      <c r="AQ37" s="1">
        <v>-18.100000000000001</v>
      </c>
      <c r="AR37" s="1">
        <v>-18.100000000000001</v>
      </c>
      <c r="AS37" s="1">
        <v>-18.100000000000001</v>
      </c>
      <c r="AT37" s="1">
        <v>-18.100000000000001</v>
      </c>
      <c r="AU37" s="1">
        <v>-18.100000000000001</v>
      </c>
      <c r="AV37" s="1">
        <v>-18.7</v>
      </c>
      <c r="AW37" s="1">
        <v>-18.7</v>
      </c>
      <c r="AX37" s="1">
        <v>-18.7</v>
      </c>
      <c r="AY37" s="1">
        <v>-18.7</v>
      </c>
      <c r="AZ37" s="1">
        <v>-18.7</v>
      </c>
      <c r="BA37" s="1">
        <v>-18.7</v>
      </c>
      <c r="BB37" s="1">
        <v>-20.3</v>
      </c>
      <c r="BC37" s="1">
        <v>-20.3</v>
      </c>
      <c r="BD37" s="1">
        <v>-20.3</v>
      </c>
      <c r="BE37" s="1">
        <v>-20.3</v>
      </c>
      <c r="BF37" s="1">
        <v>-20.3</v>
      </c>
      <c r="BG37" s="1">
        <v>-20.3</v>
      </c>
    </row>
    <row r="38" spans="1:59" ht="15.95" customHeight="1" x14ac:dyDescent="0.2">
      <c r="A38" s="1" t="s">
        <v>115</v>
      </c>
      <c r="B38" s="12">
        <v>40.9</v>
      </c>
      <c r="C38" s="12"/>
      <c r="D38" s="12">
        <v>40.9</v>
      </c>
      <c r="E38" s="12"/>
      <c r="F38" s="12" t="str">
        <f>IF((SUM(B38:B38)-SUM(D38:D38))=0," ",SUM(B38:B38)-SUM(D38:D38))</f>
        <v xml:space="preserve"> </v>
      </c>
      <c r="G38" s="13"/>
      <c r="H38" s="13" t="s">
        <v>16</v>
      </c>
      <c r="I38" s="13">
        <v>40.9</v>
      </c>
      <c r="J38" s="13"/>
      <c r="K38" s="13">
        <v>40.9</v>
      </c>
      <c r="L38" s="13"/>
      <c r="M38" s="12" t="str">
        <f>IF((SUM(I38:I38)-SUM(K38:K38))=0," ",SUM(I38:I38)-SUM(K38:K38))</f>
        <v xml:space="preserve"> </v>
      </c>
      <c r="N38" s="13"/>
      <c r="O38" s="10" t="str">
        <f>IF(M38=" ", "-  ", IF(M38=0, "-  ",  IF(K38=0, "-  ", IF((M38/ABS(K38))&gt;2, "&gt; 200 ",  IF(M38/ABS(K38)&lt;-2, "&lt; (200)", IF(AND(M38/ABS(K38)&gt;-0.005, M38/ABS(K38)&lt;0.005), "-  ", ((M38/ABS(K38))*100)))))))</f>
        <v xml:space="preserve">-  </v>
      </c>
      <c r="P38" s="13"/>
      <c r="Q38" s="13">
        <v>40.9</v>
      </c>
      <c r="R38" s="13"/>
      <c r="S38" s="13">
        <v>40.9</v>
      </c>
      <c r="T38" s="13"/>
      <c r="U38" s="12" t="str">
        <f>IF((SUM(Q38:Q38)-SUM(S38:S38))=0," ",SUM(Q38:Q38)-SUM(S38:S38))</f>
        <v xml:space="preserve"> </v>
      </c>
      <c r="V38" s="12"/>
      <c r="W38" s="49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">
        <v>40.9</v>
      </c>
      <c r="AK38" s="1">
        <v>40.9</v>
      </c>
      <c r="AL38" s="1">
        <v>40.9</v>
      </c>
      <c r="AM38" s="1">
        <v>40.9</v>
      </c>
      <c r="AN38" s="1">
        <v>40.9</v>
      </c>
      <c r="AO38" s="1">
        <v>40.9</v>
      </c>
      <c r="AP38" s="1">
        <v>40.9</v>
      </c>
      <c r="AQ38" s="1">
        <v>40.9</v>
      </c>
      <c r="AR38" s="1">
        <v>40.9</v>
      </c>
      <c r="AS38" s="1">
        <v>40.9</v>
      </c>
      <c r="AT38" s="1">
        <v>40.9</v>
      </c>
      <c r="AU38" s="1">
        <v>40.9</v>
      </c>
      <c r="AV38" s="1">
        <v>40.9</v>
      </c>
      <c r="AW38" s="1">
        <v>40.9</v>
      </c>
      <c r="AX38" s="1">
        <v>40.9</v>
      </c>
      <c r="AY38" s="1">
        <v>40.9</v>
      </c>
      <c r="AZ38" s="1">
        <v>40.9</v>
      </c>
      <c r="BA38" s="1">
        <v>40.9</v>
      </c>
      <c r="BB38" s="1">
        <v>40.9</v>
      </c>
      <c r="BC38" s="1">
        <v>40.9</v>
      </c>
      <c r="BD38" s="1">
        <v>40.9</v>
      </c>
      <c r="BE38" s="1">
        <v>40.9</v>
      </c>
      <c r="BF38" s="1">
        <v>40.9</v>
      </c>
      <c r="BG38" s="1">
        <v>40.9</v>
      </c>
    </row>
    <row r="39" spans="1:59" ht="15.95" customHeight="1" x14ac:dyDescent="0.2">
      <c r="A39" s="1" t="s">
        <v>157</v>
      </c>
      <c r="B39" s="12">
        <v>186460</v>
      </c>
      <c r="C39" s="12"/>
      <c r="D39" s="12">
        <v>222656</v>
      </c>
      <c r="E39" s="12"/>
      <c r="F39" s="12">
        <f>IF((SUM(B39:B39)-SUM(D39:D39))=0," ",SUM(B39:B39)-SUM(D39:D39))</f>
        <v>-36196</v>
      </c>
      <c r="G39" s="13"/>
      <c r="H39" s="13" t="s">
        <v>156</v>
      </c>
      <c r="I39" s="13">
        <v>1888595</v>
      </c>
      <c r="J39" s="13"/>
      <c r="K39" s="13">
        <v>1986802</v>
      </c>
      <c r="L39" s="13"/>
      <c r="M39" s="12">
        <f>IF((SUM(I39:I39)-SUM(K39:K39))=0," ",SUM(I39:I39)-SUM(K39:K39))</f>
        <v>-98207</v>
      </c>
      <c r="N39" s="13"/>
      <c r="O39" s="10">
        <f>IF(M39=" ", "-  ", IF(M39=0, "-  ",  IF(K39=0, "-  ", IF((M39/ABS(K39))&gt;2, "&gt; 200 ",  IF(M39/ABS(K39)&lt;-2, "&lt; (200)", IF(AND(M39/ABS(K39)&gt;-0.005, M39/ABS(K39)&lt;0.005), "-  ", ((M39/ABS(K39))*100)))))))</f>
        <v>-4.9429686501221557</v>
      </c>
      <c r="P39" s="13"/>
      <c r="Q39" s="13">
        <v>1888595</v>
      </c>
      <c r="R39" s="13"/>
      <c r="S39" s="13">
        <v>1986802</v>
      </c>
      <c r="T39" s="13"/>
      <c r="U39" s="12">
        <f>IF((SUM(Q39:Q39)-SUM(S39:S39))=0," ",SUM(Q39:Q39)-SUM(S39:S39))</f>
        <v>-98207</v>
      </c>
      <c r="V39" s="12"/>
      <c r="W39" s="49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">
        <v>186460</v>
      </c>
      <c r="AK39" s="1">
        <v>188812</v>
      </c>
      <c r="AL39" s="1">
        <v>199037</v>
      </c>
      <c r="AM39" s="1">
        <v>160816</v>
      </c>
      <c r="AN39" s="1">
        <v>159798</v>
      </c>
      <c r="AO39" s="1">
        <v>146885</v>
      </c>
      <c r="AP39" s="1">
        <v>132019</v>
      </c>
      <c r="AQ39" s="1">
        <v>135163</v>
      </c>
      <c r="AR39" s="1">
        <v>123186</v>
      </c>
      <c r="AS39" s="1">
        <v>143411</v>
      </c>
      <c r="AT39" s="1">
        <v>125170</v>
      </c>
      <c r="AU39" s="1">
        <v>187838</v>
      </c>
      <c r="AV39" s="1">
        <v>222656</v>
      </c>
      <c r="AW39" s="1">
        <v>192288</v>
      </c>
      <c r="AX39" s="1">
        <v>194126</v>
      </c>
      <c r="AY39" s="1">
        <v>175698</v>
      </c>
      <c r="AZ39" s="1">
        <v>196136</v>
      </c>
      <c r="BA39" s="1">
        <v>179936</v>
      </c>
      <c r="BB39" s="1">
        <v>91793</v>
      </c>
      <c r="BC39" s="1">
        <v>96764</v>
      </c>
      <c r="BD39" s="1">
        <v>125119</v>
      </c>
      <c r="BE39" s="1">
        <v>154684</v>
      </c>
      <c r="BF39" s="1">
        <v>162080</v>
      </c>
      <c r="BG39" s="1">
        <v>195522</v>
      </c>
    </row>
    <row r="40" spans="1:59" ht="15.95" customHeight="1" x14ac:dyDescent="0.2">
      <c r="B40" s="12">
        <f>B39*0.0815</f>
        <v>15196.49</v>
      </c>
      <c r="C40" s="12"/>
      <c r="D40" s="12">
        <f>D39*0.0815</f>
        <v>18146.464</v>
      </c>
      <c r="E40" s="12"/>
      <c r="F40" s="12">
        <f>IF((SUM(B40:B40)-SUM(D40:D40))=0," ",SUM(B40:B40)-SUM(D40:D40))</f>
        <v>-2949.9740000000002</v>
      </c>
      <c r="G40" s="13"/>
      <c r="H40" s="13" t="s">
        <v>158</v>
      </c>
      <c r="I40" s="13">
        <f>I39*0.0815</f>
        <v>153920.49249999999</v>
      </c>
      <c r="J40" s="13"/>
      <c r="K40" s="13">
        <f>K39*0.0815</f>
        <v>161924.36300000001</v>
      </c>
      <c r="L40" s="13"/>
      <c r="M40" s="12">
        <f>IF((SUM(I40:I40)-SUM(K40:K40))=0," ",SUM(I40:I40)-SUM(K40:K40))</f>
        <v>-8003.8705000000191</v>
      </c>
      <c r="N40" s="13"/>
      <c r="O40" s="10">
        <f>IF(M40=" ", "-  ", IF(M40=0, "-  ",  IF(K40=0, "-  ", IF((M40/ABS(K40))&gt;2, "&gt; 200 ",  IF(M40/ABS(K40)&lt;-2, "&lt; (200)", IF(AND(M40/ABS(K40)&gt;-0.005, M40/ABS(K40)&lt;0.005), "-  ", ((M40/ABS(K40))*100)))))))</f>
        <v>-4.9429686501221672</v>
      </c>
      <c r="P40" s="13"/>
      <c r="Q40" s="13">
        <f>Q39*0.0815</f>
        <v>153920.49249999999</v>
      </c>
      <c r="R40" s="13"/>
      <c r="S40" s="13">
        <f>S39*0.0815</f>
        <v>161924.36300000001</v>
      </c>
      <c r="T40" s="13"/>
      <c r="U40" s="12">
        <f>IF((SUM(Q40:Q40)-SUM(S40:S40))=0," ",SUM(Q40:Q40)-SUM(S40:S40))</f>
        <v>-8003.8705000000191</v>
      </c>
      <c r="V40" s="12"/>
      <c r="W40" s="49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59" ht="15.95" customHeight="1" x14ac:dyDescent="0.2">
      <c r="B41" s="45">
        <v>13409485.33</v>
      </c>
      <c r="C41" s="12"/>
      <c r="D41" s="45">
        <v>-2778695.48</v>
      </c>
      <c r="E41" s="12"/>
      <c r="F41" s="45">
        <f>IF((SUM(B41:B41)-SUM(D41:D41))=0," ",SUM(B41:B41)-SUM(D41:D41))</f>
        <v>16188180.810000001</v>
      </c>
      <c r="G41" s="13"/>
      <c r="H41" s="13" t="s">
        <v>17</v>
      </c>
      <c r="I41" s="45">
        <v>13409485.33</v>
      </c>
      <c r="J41" s="13"/>
      <c r="K41" s="45">
        <v>-2778695.48</v>
      </c>
      <c r="L41" s="13"/>
      <c r="M41" s="45">
        <f>IF((SUM(I41:I41)-SUM(K41:K41))=0," ",SUM(I41:I41)-SUM(K41:K41))</f>
        <v>16188180.810000001</v>
      </c>
      <c r="N41" s="13"/>
      <c r="O41" s="10" t="str">
        <f>IF(M41=" ", "-  ", IF(M41=0, "-  ",  IF(K41=0, "-  ", IF((M41/ABS(K41))&gt;2, "&gt; 200 ",  IF(M41/ABS(K41)&lt;-2, "&lt; (200)", IF(AND(M41/ABS(K41)&gt;-0.005, M41/ABS(K41)&lt;0.005), "-  ", ((M41/ABS(K41))*100)))))))</f>
        <v xml:space="preserve">&gt; 200 </v>
      </c>
      <c r="P41" s="13"/>
      <c r="Q41" s="45">
        <v>13409485.33</v>
      </c>
      <c r="R41" s="13"/>
      <c r="S41" s="45">
        <v>-2778695.48</v>
      </c>
      <c r="T41" s="13"/>
      <c r="U41" s="45">
        <f>IF((SUM(Q41:Q41)-SUM(S41:S41))=0," ",SUM(Q41:Q41)-SUM(S41:S41))</f>
        <v>16188180.810000001</v>
      </c>
      <c r="V41" s="45"/>
      <c r="W41" s="49" t="s">
        <v>148</v>
      </c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1:59" ht="15.95" customHeight="1" x14ac:dyDescent="0.2">
      <c r="B42" s="12"/>
      <c r="C42" s="12"/>
      <c r="D42" s="12"/>
      <c r="E42" s="12"/>
      <c r="F42" s="12"/>
      <c r="G42" s="13"/>
      <c r="H42" s="13"/>
      <c r="I42" s="13"/>
      <c r="J42" s="13"/>
      <c r="K42" s="13"/>
      <c r="L42" s="13"/>
      <c r="M42" s="12"/>
      <c r="N42" s="13"/>
      <c r="O42" s="13"/>
      <c r="P42" s="13"/>
      <c r="Q42" s="13"/>
      <c r="R42" s="13"/>
      <c r="S42" s="13"/>
      <c r="T42" s="13"/>
      <c r="U42" s="12"/>
      <c r="V42" s="12"/>
      <c r="W42" s="49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:59" ht="15.75" hidden="1" customHeight="1" x14ac:dyDescent="0.2">
      <c r="A43" s="1" t="s">
        <v>116</v>
      </c>
      <c r="B43" s="10">
        <v>746000</v>
      </c>
      <c r="C43" s="10"/>
      <c r="D43" s="10">
        <v>832000</v>
      </c>
      <c r="E43" s="10"/>
      <c r="F43" s="10"/>
      <c r="G43" s="11"/>
      <c r="H43" s="11"/>
      <c r="I43" s="11">
        <v>7531000</v>
      </c>
      <c r="J43" s="11"/>
      <c r="K43" s="11">
        <v>8024000</v>
      </c>
      <c r="L43" s="11"/>
      <c r="M43" s="10"/>
      <c r="N43" s="11"/>
      <c r="O43" s="11"/>
      <c r="P43" s="11"/>
      <c r="Q43" s="11">
        <v>7531000</v>
      </c>
      <c r="R43" s="11"/>
      <c r="S43" s="11">
        <v>8024000</v>
      </c>
      <c r="T43" s="11"/>
      <c r="U43" s="10"/>
      <c r="V43" s="10"/>
      <c r="W43" s="49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">
        <v>746000</v>
      </c>
      <c r="AK43" s="1">
        <v>776000</v>
      </c>
      <c r="AL43" s="1">
        <v>769000</v>
      </c>
      <c r="AM43" s="1">
        <v>789000</v>
      </c>
      <c r="AN43" s="1">
        <v>567000</v>
      </c>
      <c r="AO43" s="1">
        <v>448000</v>
      </c>
      <c r="AP43" s="1">
        <v>563000</v>
      </c>
      <c r="AQ43" s="1">
        <v>574000</v>
      </c>
      <c r="AR43" s="1">
        <v>683000</v>
      </c>
      <c r="AS43" s="1">
        <v>561000</v>
      </c>
      <c r="AT43" s="1">
        <v>511000</v>
      </c>
      <c r="AU43" s="1">
        <v>544000</v>
      </c>
      <c r="AV43" s="1">
        <v>832000</v>
      </c>
      <c r="AW43" s="1">
        <v>831000</v>
      </c>
      <c r="AX43" s="1">
        <v>834000</v>
      </c>
      <c r="AY43" s="1">
        <v>841000</v>
      </c>
      <c r="AZ43" s="1">
        <v>667000</v>
      </c>
      <c r="BA43" s="1">
        <v>664000</v>
      </c>
      <c r="BB43" s="1">
        <v>577000</v>
      </c>
      <c r="BC43" s="1">
        <v>635000</v>
      </c>
      <c r="BD43" s="1">
        <v>418000</v>
      </c>
      <c r="BE43" s="1">
        <v>615000</v>
      </c>
      <c r="BF43" s="1">
        <v>594000</v>
      </c>
      <c r="BG43" s="1">
        <v>516000</v>
      </c>
    </row>
    <row r="44" spans="1:59" ht="15.95" customHeight="1" x14ac:dyDescent="0.2">
      <c r="B44" s="10">
        <f>ROUND(IF(B43=0,"0",B43),0)</f>
        <v>746000</v>
      </c>
      <c r="C44" s="10"/>
      <c r="D44" s="10">
        <f>ROUND(IF(D43=0,"0",D43),0)</f>
        <v>832000</v>
      </c>
      <c r="E44" s="10"/>
      <c r="F44" s="10">
        <f>IF((SUM(B44:B44)-SUM(D44:D44))=0," ",SUM(B44:B44)-SUM(D44:D44))</f>
        <v>-86000</v>
      </c>
      <c r="G44" s="11"/>
      <c r="H44" s="11" t="s">
        <v>18</v>
      </c>
      <c r="I44" s="11">
        <f>I79</f>
        <v>789000</v>
      </c>
      <c r="J44" s="11"/>
      <c r="K44" s="11">
        <f>K79</f>
        <v>841000</v>
      </c>
      <c r="L44" s="11"/>
      <c r="M44" s="10">
        <f>IF((SUM(I44:I44)-SUM(K44:K44))=0," ",SUM(I44:I44)-SUM(K44:K44))</f>
        <v>-52000</v>
      </c>
      <c r="N44" s="11"/>
      <c r="O44" s="10">
        <f>IF(M44=" ", "-  ", IF(M44=0, "-  ",  IF(K44=0, "-  ", IF((M44/ABS(K44))&gt;2, "&gt; 200 ",  IF(M44/ABS(K44)&lt;-2, "&lt; (200)", IF(AND(M44/ABS(K44)&gt;-0.005, M44/ABS(K44)&lt;0.005), "-  ", ((M44/ABS(K44))*100)))))))</f>
        <v>-6.183115338882283</v>
      </c>
      <c r="P44" s="11"/>
      <c r="Q44" s="11">
        <f>MAX(AJ43:AU43)</f>
        <v>789000</v>
      </c>
      <c r="R44" s="11"/>
      <c r="S44" s="11">
        <f>MAX(AV43:BG43)</f>
        <v>841000</v>
      </c>
      <c r="T44" s="11"/>
      <c r="U44" s="10">
        <f>IF((SUM(Q44:Q44)-SUM(S44:S44))=0," ",SUM(Q44:Q44)-SUM(S44:S44))</f>
        <v>-52000</v>
      </c>
      <c r="V44" s="10"/>
      <c r="W44" s="49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59" ht="15.95" customHeight="1" x14ac:dyDescent="0.2">
      <c r="B45" s="10"/>
      <c r="C45" s="10"/>
      <c r="D45" s="10"/>
      <c r="E45" s="10"/>
      <c r="F45" s="10"/>
      <c r="G45" s="11"/>
      <c r="H45" s="11"/>
      <c r="I45" s="11"/>
      <c r="J45" s="11"/>
      <c r="K45" s="11"/>
      <c r="L45" s="11"/>
      <c r="M45" s="10"/>
      <c r="N45" s="11"/>
      <c r="O45" s="10"/>
      <c r="P45" s="11"/>
      <c r="Q45" s="11"/>
      <c r="R45" s="11"/>
      <c r="S45" s="11"/>
      <c r="T45" s="11"/>
      <c r="U45" s="10"/>
      <c r="V45" s="10"/>
      <c r="W45" s="49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59" ht="15.95" customHeight="1" x14ac:dyDescent="0.2">
      <c r="A46" s="1" t="s">
        <v>159</v>
      </c>
      <c r="B46" s="10">
        <v>281194000</v>
      </c>
      <c r="C46" s="10"/>
      <c r="D46" s="10">
        <v>287662000</v>
      </c>
      <c r="E46" s="10"/>
      <c r="F46" s="10">
        <f>IF((SUM(B46:B46)-SUM(D46:D46))=0," ",SUM(B46:B46)-SUM(D46:D46))</f>
        <v>-6468000</v>
      </c>
      <c r="G46" s="11"/>
      <c r="H46" s="11" t="s">
        <v>160</v>
      </c>
      <c r="I46" s="11">
        <v>3298911000</v>
      </c>
      <c r="J46" s="11"/>
      <c r="K46" s="11">
        <v>3201765000</v>
      </c>
      <c r="L46" s="11"/>
      <c r="M46" s="10">
        <f>IF((SUM(I46:I46)-SUM(K46:K46))=0," ",SUM(I46:I46)-SUM(K46:K46))</f>
        <v>97146000</v>
      </c>
      <c r="N46" s="11"/>
      <c r="O46" s="10">
        <f>IF(M46=" ", "-  ", IF(M46=0, "-  ",  IF(K46=0, "-  ", IF((M46/ABS(K46))&gt;2, "&gt; 200 ",  IF(M46/ABS(K46)&lt;-2, "&lt; (200)", IF(AND(M46/ABS(K46)&gt;-0.005, M46/ABS(K46)&lt;0.005), "-  ", ((M46/ABS(K46))*100)))))))</f>
        <v>3.0341389827173453</v>
      </c>
      <c r="P46" s="11"/>
      <c r="Q46" s="11">
        <v>3298911000</v>
      </c>
      <c r="R46" s="11"/>
      <c r="S46" s="11">
        <v>3201765000</v>
      </c>
      <c r="T46" s="11"/>
      <c r="U46" s="10">
        <f>IF((SUM(Q46:Q46)-SUM(S46:S46))=0," ",SUM(Q46:Q46)-SUM(S46:S46))</f>
        <v>97146000</v>
      </c>
      <c r="V46" s="10"/>
      <c r="W46" s="49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">
        <v>281194000</v>
      </c>
      <c r="AK46" s="1">
        <v>347906000</v>
      </c>
      <c r="AL46" s="1">
        <v>382464000</v>
      </c>
      <c r="AM46" s="1">
        <v>323271000</v>
      </c>
      <c r="AN46" s="1">
        <v>260338000</v>
      </c>
      <c r="AO46" s="1">
        <v>224784000</v>
      </c>
      <c r="AP46" s="1">
        <v>243927000</v>
      </c>
      <c r="AQ46" s="1">
        <v>248583000</v>
      </c>
      <c r="AR46" s="1">
        <v>280515000</v>
      </c>
      <c r="AS46" s="1">
        <v>238677000</v>
      </c>
      <c r="AT46" s="1">
        <v>228569000</v>
      </c>
      <c r="AU46" s="1">
        <v>238683000</v>
      </c>
      <c r="AV46" s="1">
        <v>287662000</v>
      </c>
      <c r="AW46" s="1">
        <v>345559000</v>
      </c>
      <c r="AX46" s="1">
        <v>332024000</v>
      </c>
      <c r="AY46" s="1">
        <v>303229000</v>
      </c>
      <c r="AZ46" s="1">
        <v>233190000</v>
      </c>
      <c r="BA46" s="1">
        <v>219008000</v>
      </c>
      <c r="BB46" s="1">
        <v>230326000</v>
      </c>
      <c r="BC46" s="1">
        <v>265822000</v>
      </c>
      <c r="BD46" s="1">
        <v>270223000</v>
      </c>
      <c r="BE46" s="1">
        <v>256531000</v>
      </c>
      <c r="BF46" s="1">
        <v>223061000</v>
      </c>
      <c r="BG46" s="1">
        <v>235130000</v>
      </c>
    </row>
    <row r="47" spans="1:59" ht="15.95" customHeight="1" x14ac:dyDescent="0.2">
      <c r="B47" s="10"/>
      <c r="C47" s="10"/>
      <c r="D47" s="10"/>
      <c r="E47" s="10"/>
      <c r="F47" s="10"/>
      <c r="G47" s="11"/>
      <c r="H47" s="11"/>
      <c r="I47" s="11"/>
      <c r="J47" s="11"/>
      <c r="K47" s="11"/>
      <c r="L47" s="11"/>
      <c r="M47" s="10"/>
      <c r="N47" s="11"/>
      <c r="O47" s="11"/>
      <c r="P47" s="11"/>
      <c r="Q47" s="11"/>
      <c r="R47" s="11"/>
      <c r="S47" s="11"/>
      <c r="T47" s="11"/>
      <c r="U47" s="10"/>
      <c r="V47" s="10"/>
      <c r="W47" s="49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1:59" ht="15.95" customHeight="1" x14ac:dyDescent="0.2">
      <c r="A48" s="1" t="s">
        <v>117</v>
      </c>
      <c r="B48" s="10">
        <v>867000</v>
      </c>
      <c r="C48" s="10"/>
      <c r="D48" s="10">
        <v>1120000</v>
      </c>
      <c r="E48" s="10"/>
      <c r="F48" s="10">
        <f>IF((SUM(B48:B48)-SUM(D48:D48))=0," ",SUM(B48:B48)-SUM(D48:D48))</f>
        <v>-253000</v>
      </c>
      <c r="G48" s="11"/>
      <c r="H48" s="11" t="s">
        <v>19</v>
      </c>
      <c r="I48" s="11">
        <v>867000</v>
      </c>
      <c r="J48" s="11"/>
      <c r="K48" s="11">
        <v>1120000</v>
      </c>
      <c r="L48" s="11"/>
      <c r="M48" s="10">
        <f t="shared" ref="M48:M53" si="0">IF((SUM(I48:I48)-SUM(K48:K48))=0," ",SUM(I48:I48)-SUM(K48:K48))</f>
        <v>-253000</v>
      </c>
      <c r="N48" s="11"/>
      <c r="O48" s="11"/>
      <c r="P48" s="11"/>
      <c r="Q48" s="11">
        <v>867000</v>
      </c>
      <c r="R48" s="11"/>
      <c r="S48" s="11">
        <v>1120000</v>
      </c>
      <c r="T48" s="11"/>
      <c r="U48" s="10">
        <f t="shared" ref="U48:U53" si="1">IF((SUM(Q48:Q48)-SUM(S48:S48))=0," ",SUM(Q48:Q48)-SUM(S48:S48))</f>
        <v>-253000</v>
      </c>
      <c r="V48" s="10"/>
      <c r="W48" s="49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">
        <v>867000</v>
      </c>
      <c r="AK48" s="1">
        <v>867000</v>
      </c>
      <c r="AL48" s="1">
        <v>867000</v>
      </c>
      <c r="AM48" s="1">
        <v>867000</v>
      </c>
      <c r="AN48" s="1">
        <v>867000</v>
      </c>
      <c r="AO48" s="1">
        <v>867000</v>
      </c>
      <c r="AP48" s="1">
        <v>867000</v>
      </c>
      <c r="AQ48" s="1">
        <v>867000</v>
      </c>
      <c r="AR48" s="1">
        <v>867000</v>
      </c>
      <c r="AS48" s="1">
        <v>867000</v>
      </c>
      <c r="AT48" s="1">
        <v>1120000</v>
      </c>
      <c r="AU48" s="1">
        <v>1120000</v>
      </c>
      <c r="AV48" s="1">
        <v>1120000</v>
      </c>
      <c r="AW48" s="1">
        <v>1120000</v>
      </c>
      <c r="AX48" s="1">
        <v>1120000</v>
      </c>
      <c r="AY48" s="1">
        <v>1120000</v>
      </c>
      <c r="AZ48" s="1">
        <v>1120000</v>
      </c>
      <c r="BA48" s="1">
        <v>1120000</v>
      </c>
      <c r="BB48" s="1">
        <v>1120000</v>
      </c>
      <c r="BC48" s="1">
        <v>1120000</v>
      </c>
      <c r="BD48" s="1">
        <v>1120000</v>
      </c>
      <c r="BE48" s="1">
        <v>1120000</v>
      </c>
      <c r="BF48" s="1">
        <v>1120000</v>
      </c>
      <c r="BG48" s="1">
        <v>1120000</v>
      </c>
    </row>
    <row r="49" spans="1:59" ht="15.95" customHeight="1" x14ac:dyDescent="0.2">
      <c r="A49" s="1" t="s">
        <v>118</v>
      </c>
      <c r="B49" s="10">
        <v>50000</v>
      </c>
      <c r="C49" s="10"/>
      <c r="D49" s="10">
        <v>50000</v>
      </c>
      <c r="E49" s="10"/>
      <c r="F49" s="10" t="str">
        <f>IF((SUM(B49:B49)-SUM(D49:D49))=0," ",SUM(B49:B49)-SUM(D49:D49))</f>
        <v xml:space="preserve"> </v>
      </c>
      <c r="G49" s="11"/>
      <c r="H49" s="11" t="s">
        <v>20</v>
      </c>
      <c r="I49" s="11">
        <v>50000</v>
      </c>
      <c r="J49" s="11"/>
      <c r="K49" s="11">
        <v>50000</v>
      </c>
      <c r="L49" s="11"/>
      <c r="M49" s="10" t="str">
        <f t="shared" si="0"/>
        <v xml:space="preserve"> </v>
      </c>
      <c r="N49" s="11"/>
      <c r="O49" s="11"/>
      <c r="P49" s="11"/>
      <c r="Q49" s="11">
        <v>50000</v>
      </c>
      <c r="R49" s="11"/>
      <c r="S49" s="11">
        <v>50000</v>
      </c>
      <c r="T49" s="11"/>
      <c r="U49" s="10" t="str">
        <f t="shared" si="1"/>
        <v xml:space="preserve"> </v>
      </c>
      <c r="V49" s="10"/>
      <c r="W49" s="49" t="s">
        <v>143</v>
      </c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">
        <v>50000</v>
      </c>
      <c r="AK49" s="1">
        <v>50000</v>
      </c>
      <c r="AL49" s="1">
        <v>50000</v>
      </c>
      <c r="AM49" s="1">
        <v>50000</v>
      </c>
      <c r="AN49" s="1">
        <v>50000</v>
      </c>
      <c r="AO49" s="1">
        <v>50000</v>
      </c>
      <c r="AP49" s="1">
        <v>50000</v>
      </c>
      <c r="AQ49" s="1">
        <v>50000</v>
      </c>
      <c r="AR49" s="1">
        <v>50000</v>
      </c>
      <c r="AS49" s="1">
        <v>50000</v>
      </c>
      <c r="AT49" s="1">
        <v>50000</v>
      </c>
      <c r="AU49" s="1">
        <v>50000</v>
      </c>
      <c r="AV49" s="1">
        <v>50000</v>
      </c>
      <c r="AW49" s="1">
        <v>50000</v>
      </c>
      <c r="AX49" s="1">
        <v>50000</v>
      </c>
      <c r="AY49" s="1">
        <v>50000</v>
      </c>
      <c r="AZ49" s="1">
        <v>50000</v>
      </c>
      <c r="BA49" s="1">
        <v>50000</v>
      </c>
      <c r="BB49" s="1">
        <v>50000</v>
      </c>
      <c r="BC49" s="1">
        <v>50000</v>
      </c>
      <c r="BD49" s="1">
        <v>50000</v>
      </c>
      <c r="BE49" s="1">
        <v>50000</v>
      </c>
      <c r="BF49" s="1">
        <v>50000</v>
      </c>
      <c r="BG49" s="1">
        <v>50000</v>
      </c>
    </row>
    <row r="50" spans="1:59" ht="15.95" customHeight="1" x14ac:dyDescent="0.2">
      <c r="A50" s="1" t="s">
        <v>145</v>
      </c>
      <c r="B50" s="10">
        <v>46170</v>
      </c>
      <c r="C50" s="10"/>
      <c r="D50" s="10">
        <v>46170</v>
      </c>
      <c r="E50" s="10"/>
      <c r="F50" s="10" t="str">
        <f>IF((SUM(B50:B50)-SUM(D50:D50))=0," ",SUM(B50:B50)-SUM(D50:D50))</f>
        <v xml:space="preserve"> </v>
      </c>
      <c r="G50" s="11"/>
      <c r="H50" s="11" t="s">
        <v>147</v>
      </c>
      <c r="I50" s="11">
        <v>46170</v>
      </c>
      <c r="J50" s="11"/>
      <c r="K50" s="11">
        <v>46170</v>
      </c>
      <c r="L50" s="11"/>
      <c r="M50" s="10" t="str">
        <f t="shared" si="0"/>
        <v xml:space="preserve"> </v>
      </c>
      <c r="N50" s="11"/>
      <c r="O50" s="11"/>
      <c r="P50" s="11"/>
      <c r="Q50" s="11">
        <v>46170</v>
      </c>
      <c r="R50" s="11"/>
      <c r="S50" s="11">
        <v>46170</v>
      </c>
      <c r="T50" s="11"/>
      <c r="U50" s="10" t="str">
        <f t="shared" si="1"/>
        <v xml:space="preserve"> </v>
      </c>
      <c r="V50" s="10"/>
      <c r="W50" s="49" t="s">
        <v>146</v>
      </c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">
        <v>46170</v>
      </c>
      <c r="AK50" s="1">
        <v>46170</v>
      </c>
      <c r="AL50" s="1">
        <v>46170</v>
      </c>
      <c r="AM50" s="1">
        <v>46170</v>
      </c>
      <c r="AN50" s="1">
        <v>46170</v>
      </c>
      <c r="AO50" s="1">
        <v>46170</v>
      </c>
      <c r="AP50" s="1">
        <v>46170</v>
      </c>
      <c r="AQ50" s="1">
        <v>46170</v>
      </c>
      <c r="AR50" s="1">
        <v>46170</v>
      </c>
      <c r="AS50" s="1">
        <v>46170</v>
      </c>
      <c r="AT50" s="1">
        <v>46170</v>
      </c>
      <c r="AU50" s="1">
        <v>46170</v>
      </c>
      <c r="AV50" s="1">
        <v>46170</v>
      </c>
      <c r="AW50" s="1">
        <v>46170</v>
      </c>
      <c r="AX50" s="1">
        <v>46170</v>
      </c>
      <c r="AY50" s="1">
        <v>46170</v>
      </c>
      <c r="AZ50" s="1">
        <v>46170</v>
      </c>
      <c r="BA50" s="1">
        <v>46170</v>
      </c>
      <c r="BB50" s="1">
        <v>46170</v>
      </c>
      <c r="BC50" s="1">
        <v>46170</v>
      </c>
      <c r="BD50" s="1">
        <v>46170</v>
      </c>
      <c r="BE50" s="1">
        <v>50000</v>
      </c>
      <c r="BF50" s="1">
        <v>50000</v>
      </c>
      <c r="BG50" s="1">
        <v>50000</v>
      </c>
    </row>
    <row r="51" spans="1:59" ht="15.95" customHeight="1" x14ac:dyDescent="0.2">
      <c r="A51" s="1" t="s">
        <v>176</v>
      </c>
      <c r="B51" s="58">
        <v>201300</v>
      </c>
      <c r="C51" s="58"/>
      <c r="D51" s="58">
        <v>200000</v>
      </c>
      <c r="E51" s="58"/>
      <c r="F51" s="58"/>
      <c r="H51" s="1" t="s">
        <v>178</v>
      </c>
      <c r="I51" s="11">
        <v>201300</v>
      </c>
      <c r="J51" s="11"/>
      <c r="K51" s="11">
        <v>200000</v>
      </c>
      <c r="L51" s="11"/>
      <c r="M51" s="10">
        <f t="shared" si="0"/>
        <v>1300</v>
      </c>
      <c r="N51" s="11"/>
      <c r="O51" s="11"/>
      <c r="P51" s="11"/>
      <c r="Q51" s="11">
        <v>201300</v>
      </c>
      <c r="R51" s="11"/>
      <c r="S51" s="11">
        <v>200000</v>
      </c>
      <c r="T51" s="11"/>
      <c r="U51" s="10">
        <f t="shared" si="1"/>
        <v>1300</v>
      </c>
      <c r="W51" s="49" t="s">
        <v>146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">
        <v>201300</v>
      </c>
      <c r="AK51" s="1">
        <v>201300</v>
      </c>
      <c r="AL51" s="1">
        <v>201300</v>
      </c>
      <c r="AM51" s="1">
        <v>201300</v>
      </c>
      <c r="AN51" s="1">
        <v>201300</v>
      </c>
      <c r="AO51" s="1">
        <v>201300</v>
      </c>
      <c r="AP51" s="1">
        <v>201300</v>
      </c>
      <c r="AQ51" s="1">
        <v>200000</v>
      </c>
      <c r="AR51" s="1">
        <v>200000</v>
      </c>
      <c r="AS51" s="1">
        <v>200000</v>
      </c>
      <c r="AT51" s="1">
        <v>200000</v>
      </c>
      <c r="AU51" s="1">
        <v>200000</v>
      </c>
      <c r="AV51" s="1">
        <v>200000</v>
      </c>
      <c r="AW51" s="1">
        <v>200000</v>
      </c>
      <c r="AX51" s="1">
        <v>200000</v>
      </c>
      <c r="AY51" s="1">
        <v>200000</v>
      </c>
      <c r="AZ51" s="1">
        <v>200000</v>
      </c>
      <c r="BA51" s="1">
        <v>200000</v>
      </c>
      <c r="BB51" s="1">
        <v>200000</v>
      </c>
      <c r="BC51" s="1">
        <v>200000</v>
      </c>
      <c r="BD51" s="1">
        <v>200000</v>
      </c>
      <c r="BE51" s="1">
        <v>200000</v>
      </c>
      <c r="BF51" s="1">
        <v>200000</v>
      </c>
      <c r="BG51" s="1">
        <v>200000</v>
      </c>
    </row>
    <row r="52" spans="1:59" ht="15.95" customHeight="1" x14ac:dyDescent="0.2">
      <c r="A52" s="1" t="s">
        <v>181</v>
      </c>
      <c r="B52" s="58">
        <v>97650</v>
      </c>
      <c r="C52" s="58"/>
      <c r="D52" s="58">
        <v>97650</v>
      </c>
      <c r="E52" s="58"/>
      <c r="F52" s="58"/>
      <c r="H52" s="1" t="s">
        <v>182</v>
      </c>
      <c r="I52" s="11">
        <v>97650</v>
      </c>
      <c r="J52" s="11"/>
      <c r="K52" s="11">
        <v>97650</v>
      </c>
      <c r="L52" s="11"/>
      <c r="M52" s="10" t="str">
        <f t="shared" si="0"/>
        <v xml:space="preserve"> </v>
      </c>
      <c r="N52" s="11"/>
      <c r="O52" s="11"/>
      <c r="P52" s="11"/>
      <c r="Q52" s="11">
        <v>97650</v>
      </c>
      <c r="R52" s="11"/>
      <c r="S52" s="11">
        <v>97650</v>
      </c>
      <c r="T52" s="11"/>
      <c r="U52" s="10" t="str">
        <f t="shared" si="1"/>
        <v xml:space="preserve"> </v>
      </c>
      <c r="W52" s="49" t="s">
        <v>146</v>
      </c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">
        <v>97650</v>
      </c>
      <c r="AK52" s="1">
        <v>97650</v>
      </c>
      <c r="AL52" s="1">
        <v>97650</v>
      </c>
      <c r="AM52" s="1">
        <v>97650</v>
      </c>
      <c r="AN52" s="1">
        <v>97650</v>
      </c>
      <c r="AO52" s="1">
        <v>97650</v>
      </c>
      <c r="AP52" s="1">
        <v>97650</v>
      </c>
      <c r="AQ52" s="1">
        <v>97650</v>
      </c>
      <c r="AR52" s="1">
        <v>97650</v>
      </c>
      <c r="AS52" s="1">
        <v>97650</v>
      </c>
      <c r="AT52" s="1">
        <v>97650</v>
      </c>
      <c r="AU52" s="1">
        <v>97650</v>
      </c>
      <c r="AV52" s="1">
        <v>97650</v>
      </c>
      <c r="AW52" s="1">
        <v>97650</v>
      </c>
      <c r="AX52" s="1">
        <v>97650</v>
      </c>
      <c r="AY52" s="1">
        <v>97650</v>
      </c>
      <c r="AZ52" s="1">
        <v>97650</v>
      </c>
      <c r="BA52" s="1">
        <v>97650</v>
      </c>
      <c r="BB52" s="1">
        <v>97650</v>
      </c>
      <c r="BC52" s="1">
        <v>97650</v>
      </c>
      <c r="BD52" s="1">
        <v>97650</v>
      </c>
      <c r="BE52" s="1">
        <v>97650</v>
      </c>
      <c r="BF52" s="1">
        <v>97650</v>
      </c>
      <c r="BG52" s="1">
        <v>97650</v>
      </c>
    </row>
    <row r="53" spans="1:59" ht="15.95" customHeight="1" x14ac:dyDescent="0.2">
      <c r="A53" s="1" t="s">
        <v>177</v>
      </c>
      <c r="B53" s="10">
        <v>4950</v>
      </c>
      <c r="C53" s="10"/>
      <c r="D53" s="10">
        <v>4950</v>
      </c>
      <c r="E53" s="10"/>
      <c r="F53" s="10"/>
      <c r="G53" s="11"/>
      <c r="H53" s="11" t="s">
        <v>179</v>
      </c>
      <c r="I53" s="11">
        <v>4950</v>
      </c>
      <c r="J53" s="11"/>
      <c r="K53" s="11">
        <v>4950</v>
      </c>
      <c r="L53" s="11"/>
      <c r="M53" s="10" t="str">
        <f t="shared" si="0"/>
        <v xml:space="preserve"> </v>
      </c>
      <c r="N53" s="11"/>
      <c r="O53" s="11"/>
      <c r="P53" s="11"/>
      <c r="Q53" s="11">
        <v>4950</v>
      </c>
      <c r="R53" s="11"/>
      <c r="S53" s="11">
        <v>4950</v>
      </c>
      <c r="T53" s="11"/>
      <c r="U53" s="10" t="str">
        <f t="shared" si="1"/>
        <v xml:space="preserve"> </v>
      </c>
      <c r="V53" s="10"/>
      <c r="W53" s="49" t="s">
        <v>146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">
        <v>4950</v>
      </c>
      <c r="AK53" s="1">
        <v>4950</v>
      </c>
      <c r="AL53" s="1">
        <v>4950</v>
      </c>
      <c r="AM53" s="1">
        <v>4950</v>
      </c>
      <c r="AN53" s="1">
        <v>4950</v>
      </c>
      <c r="AO53" s="1">
        <v>4950</v>
      </c>
      <c r="AP53" s="1">
        <v>4950</v>
      </c>
      <c r="AQ53" s="1">
        <v>4950</v>
      </c>
      <c r="AR53" s="1">
        <v>4950</v>
      </c>
      <c r="AS53" s="1">
        <v>4950</v>
      </c>
      <c r="AT53" s="1">
        <v>4950</v>
      </c>
      <c r="AU53" s="1">
        <v>4950</v>
      </c>
      <c r="AV53" s="1">
        <v>4950</v>
      </c>
      <c r="AW53" s="1">
        <v>4950</v>
      </c>
      <c r="AX53" s="1">
        <v>4950</v>
      </c>
      <c r="AY53" s="1">
        <v>4950</v>
      </c>
      <c r="AZ53" s="1">
        <v>4950</v>
      </c>
      <c r="BA53" s="1">
        <v>4950</v>
      </c>
      <c r="BB53" s="1">
        <v>4950</v>
      </c>
      <c r="BC53" s="1">
        <v>4950</v>
      </c>
      <c r="BD53" s="1">
        <v>4950</v>
      </c>
      <c r="BE53" s="1">
        <v>4950</v>
      </c>
      <c r="BF53" s="1">
        <v>4950</v>
      </c>
      <c r="BG53" s="1">
        <v>4950</v>
      </c>
    </row>
    <row r="54" spans="1:59" ht="15.95" customHeight="1" x14ac:dyDescent="0.2">
      <c r="B54" s="10"/>
      <c r="C54" s="10"/>
      <c r="D54" s="10"/>
      <c r="E54" s="10"/>
      <c r="F54" s="10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0"/>
      <c r="V54" s="10"/>
      <c r="W54" s="49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:59" ht="15.95" customHeight="1" x14ac:dyDescent="0.2">
      <c r="B55" s="10"/>
      <c r="C55" s="10"/>
      <c r="D55" s="10"/>
      <c r="E55" s="10"/>
      <c r="F55" s="10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0"/>
      <c r="V55" s="10"/>
      <c r="W55" s="49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:59" ht="15.95" customHeight="1" x14ac:dyDescent="0.2">
      <c r="B56" s="10"/>
      <c r="C56" s="10"/>
      <c r="D56" s="10"/>
      <c r="E56" s="10"/>
      <c r="F56" s="10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0"/>
      <c r="V56" s="10"/>
      <c r="W56" s="49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:59" ht="15.95" customHeight="1" x14ac:dyDescent="0.2">
      <c r="B57" s="46" t="s">
        <v>141</v>
      </c>
      <c r="E57" s="10"/>
      <c r="F57" s="10"/>
      <c r="G57" s="10"/>
      <c r="H57" s="11"/>
      <c r="I57" s="11"/>
      <c r="J57" s="10"/>
      <c r="K57" s="11"/>
      <c r="L57" s="11"/>
      <c r="N57" s="11"/>
      <c r="O57" s="11"/>
      <c r="P57" s="11"/>
      <c r="Q57" s="11"/>
      <c r="S57" s="11"/>
      <c r="T57" s="11"/>
      <c r="U57" s="11"/>
      <c r="V57" s="11"/>
      <c r="W57" s="11"/>
      <c r="X57" s="11"/>
      <c r="Y57" s="10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59" ht="15.95" customHeight="1" x14ac:dyDescent="0.2">
      <c r="E58" s="10"/>
      <c r="F58" s="10"/>
      <c r="G58" s="10"/>
      <c r="H58" s="11"/>
      <c r="I58" s="11"/>
      <c r="J58" s="10"/>
      <c r="K58" s="11"/>
      <c r="L58" s="11"/>
      <c r="N58" s="11"/>
      <c r="O58" s="11"/>
      <c r="P58" s="11"/>
      <c r="Q58" s="11"/>
      <c r="S58" s="11"/>
      <c r="T58" s="11"/>
      <c r="U58" s="11"/>
      <c r="V58" s="11"/>
      <c r="W58" s="11"/>
      <c r="X58" s="11"/>
      <c r="Y58" s="10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59" ht="15.95" customHeight="1" x14ac:dyDescent="0.2">
      <c r="E59" s="10"/>
      <c r="F59" s="10"/>
      <c r="G59" s="10"/>
      <c r="H59" s="11"/>
      <c r="I59" s="11"/>
      <c r="J59" s="10"/>
      <c r="K59" s="11"/>
      <c r="L59" s="11"/>
      <c r="N59" s="11"/>
      <c r="O59" s="11"/>
      <c r="P59" s="11"/>
      <c r="Q59" s="11"/>
      <c r="S59" s="11"/>
      <c r="T59" s="11"/>
      <c r="U59" s="11"/>
      <c r="V59" s="11"/>
      <c r="W59" s="11"/>
      <c r="X59" s="11"/>
      <c r="Y59" s="10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59" ht="15.95" customHeight="1" x14ac:dyDescent="0.2">
      <c r="E60" s="10"/>
      <c r="F60" s="10"/>
      <c r="G60" s="10"/>
      <c r="H60" s="11"/>
      <c r="I60" s="11"/>
      <c r="J60" s="10"/>
      <c r="K60" s="11"/>
      <c r="L60" s="11"/>
      <c r="N60" s="11"/>
      <c r="O60" s="11"/>
      <c r="P60" s="11"/>
      <c r="Q60" s="11"/>
      <c r="S60" s="11"/>
      <c r="T60" s="11"/>
      <c r="U60" s="11"/>
      <c r="V60" s="11"/>
      <c r="W60" s="11"/>
      <c r="X60" s="11"/>
      <c r="Y60" s="10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59" ht="15.95" customHeight="1" thickBot="1" x14ac:dyDescent="0.25">
      <c r="B61" s="24"/>
      <c r="C61" s="24"/>
      <c r="D61" s="24"/>
      <c r="E61" s="24"/>
      <c r="F61" s="24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4"/>
      <c r="V61" s="10"/>
      <c r="W61" s="10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:59" ht="15.75" customHeight="1" x14ac:dyDescent="0.2">
      <c r="B62" s="10"/>
      <c r="C62" s="10"/>
      <c r="D62" s="10"/>
      <c r="E62" s="10"/>
      <c r="F62" s="10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0"/>
      <c r="V62" s="10"/>
      <c r="W62" s="10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1:59" ht="15.75" customHeight="1" x14ac:dyDescent="0.2">
      <c r="B63" s="10"/>
      <c r="C63" s="10"/>
      <c r="D63" s="10"/>
      <c r="E63" s="10"/>
      <c r="F63" s="10"/>
      <c r="G63" s="11"/>
      <c r="H63" s="29" t="s">
        <v>13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0"/>
      <c r="V63" s="10"/>
      <c r="W63" s="10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1:59" ht="15.75" customHeight="1" x14ac:dyDescent="0.2">
      <c r="A64" s="1" t="s">
        <v>111</v>
      </c>
      <c r="B64" s="10">
        <v>677000</v>
      </c>
      <c r="C64" s="10"/>
      <c r="D64" s="10">
        <v>636000</v>
      </c>
      <c r="E64" s="10"/>
      <c r="F64" s="10"/>
      <c r="G64" s="11"/>
      <c r="H64" s="11"/>
      <c r="I64" s="11">
        <v>6711000</v>
      </c>
      <c r="J64" s="11"/>
      <c r="K64" s="11">
        <v>6394000</v>
      </c>
      <c r="L64" s="11"/>
      <c r="M64" s="11"/>
      <c r="N64" s="11"/>
      <c r="O64" s="11"/>
      <c r="P64" s="11"/>
      <c r="Q64" s="11">
        <v>6711000</v>
      </c>
      <c r="R64" s="11"/>
      <c r="S64" s="11">
        <v>6394000</v>
      </c>
      <c r="T64" s="11"/>
      <c r="U64" s="10"/>
      <c r="V64" s="10"/>
      <c r="W64" s="10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">
        <v>677000</v>
      </c>
      <c r="AK64" s="1">
        <v>737000</v>
      </c>
      <c r="AL64" s="1">
        <v>776000</v>
      </c>
      <c r="AM64" s="1">
        <v>727000</v>
      </c>
      <c r="AN64" s="1">
        <v>624000</v>
      </c>
      <c r="AO64" s="1">
        <v>410000</v>
      </c>
      <c r="AP64" s="1">
        <v>446000</v>
      </c>
      <c r="AQ64" s="1">
        <v>502000</v>
      </c>
      <c r="AR64" s="1">
        <v>499000</v>
      </c>
      <c r="AS64" s="1">
        <v>423000</v>
      </c>
      <c r="AT64" s="1">
        <v>398000</v>
      </c>
      <c r="AU64" s="1">
        <v>492000</v>
      </c>
      <c r="AV64" s="1">
        <v>636000</v>
      </c>
      <c r="AW64" s="1">
        <v>721000</v>
      </c>
      <c r="AX64" s="1">
        <v>720000</v>
      </c>
      <c r="AY64" s="1">
        <v>687000</v>
      </c>
      <c r="AZ64" s="1">
        <v>524000</v>
      </c>
      <c r="BA64" s="1">
        <v>396000</v>
      </c>
      <c r="BB64" s="1">
        <v>405000</v>
      </c>
      <c r="BC64" s="1">
        <v>546000</v>
      </c>
      <c r="BD64" s="1">
        <v>443000</v>
      </c>
      <c r="BE64" s="1">
        <v>436000</v>
      </c>
      <c r="BF64" s="1">
        <v>412000</v>
      </c>
      <c r="BG64" s="1">
        <v>468000</v>
      </c>
    </row>
    <row r="65" spans="2:60" ht="15.75" customHeight="1" x14ac:dyDescent="0.2">
      <c r="B65" s="10"/>
      <c r="C65" s="10"/>
      <c r="D65" s="10"/>
      <c r="E65" s="10"/>
      <c r="F65" s="10"/>
      <c r="G65" s="11"/>
      <c r="H65" s="1" t="s">
        <v>64</v>
      </c>
      <c r="I65" s="1" t="str">
        <f>TEXT(ASD, "MMMM")</f>
        <v>September</v>
      </c>
      <c r="L65" s="11"/>
      <c r="M65" s="11"/>
      <c r="N65" s="11"/>
      <c r="O65" s="11"/>
      <c r="P65" s="11"/>
      <c r="Q65" s="11"/>
      <c r="R65" s="11"/>
      <c r="S65" s="11"/>
      <c r="T65" s="11"/>
      <c r="U65" s="10"/>
      <c r="V65" s="10"/>
      <c r="W65" s="10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">
        <f t="shared" ref="AJ65:AY65" si="2">AJ64</f>
        <v>677000</v>
      </c>
      <c r="AK65" s="1">
        <f t="shared" si="2"/>
        <v>737000</v>
      </c>
      <c r="AL65" s="1">
        <f t="shared" si="2"/>
        <v>776000</v>
      </c>
      <c r="AM65" s="1">
        <f t="shared" si="2"/>
        <v>727000</v>
      </c>
      <c r="AN65" s="1">
        <f t="shared" si="2"/>
        <v>624000</v>
      </c>
      <c r="AO65" s="1">
        <f t="shared" si="2"/>
        <v>410000</v>
      </c>
      <c r="AP65" s="1">
        <f t="shared" si="2"/>
        <v>446000</v>
      </c>
      <c r="AQ65" s="1">
        <f t="shared" si="2"/>
        <v>502000</v>
      </c>
      <c r="AR65" s="1">
        <f t="shared" si="2"/>
        <v>499000</v>
      </c>
      <c r="AS65" s="1">
        <f t="shared" si="2"/>
        <v>423000</v>
      </c>
      <c r="AT65" s="1">
        <f t="shared" si="2"/>
        <v>398000</v>
      </c>
      <c r="AU65" s="1">
        <f t="shared" si="2"/>
        <v>492000</v>
      </c>
      <c r="AV65" s="1">
        <f t="shared" si="2"/>
        <v>636000</v>
      </c>
      <c r="AW65" s="1">
        <f t="shared" si="2"/>
        <v>721000</v>
      </c>
      <c r="AX65" s="1">
        <f t="shared" si="2"/>
        <v>720000</v>
      </c>
      <c r="AY65" s="1">
        <f t="shared" si="2"/>
        <v>687000</v>
      </c>
      <c r="AZ65" s="1">
        <f t="shared" ref="AZ65:BF65" si="3">AZ30</f>
        <v>0</v>
      </c>
      <c r="BA65" s="1">
        <f t="shared" si="3"/>
        <v>0</v>
      </c>
      <c r="BB65" s="1">
        <f t="shared" si="3"/>
        <v>0</v>
      </c>
      <c r="BC65" s="1">
        <f t="shared" si="3"/>
        <v>0</v>
      </c>
      <c r="BD65" s="1">
        <f t="shared" si="3"/>
        <v>0</v>
      </c>
      <c r="BE65" s="1">
        <f t="shared" si="3"/>
        <v>0</v>
      </c>
      <c r="BF65" s="1">
        <f t="shared" si="3"/>
        <v>0</v>
      </c>
      <c r="BG65" s="1">
        <f>BG64</f>
        <v>468000</v>
      </c>
      <c r="BH65" s="1">
        <f>BH64</f>
        <v>0</v>
      </c>
    </row>
    <row r="66" spans="2:60" ht="15.75" customHeight="1" x14ac:dyDescent="0.2">
      <c r="B66" s="10"/>
      <c r="C66" s="10"/>
      <c r="D66" s="10"/>
      <c r="E66" s="10"/>
      <c r="F66" s="10"/>
      <c r="G66" s="11"/>
      <c r="H66" s="1" t="s">
        <v>65</v>
      </c>
      <c r="L66" s="11"/>
      <c r="M66" s="11"/>
      <c r="N66" s="11"/>
      <c r="O66" s="11"/>
      <c r="P66" s="11"/>
      <c r="Q66" s="11"/>
      <c r="R66" s="11"/>
      <c r="S66" s="11"/>
      <c r="T66" s="11"/>
      <c r="U66" s="10"/>
      <c r="V66" s="10"/>
      <c r="W66" s="10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2:60" ht="15.75" customHeight="1" x14ac:dyDescent="0.2">
      <c r="B67" s="10"/>
      <c r="C67" s="10"/>
      <c r="D67" s="10"/>
      <c r="E67" s="10"/>
      <c r="F67" s="10"/>
      <c r="G67" s="11"/>
      <c r="H67" s="1" t="s">
        <v>66</v>
      </c>
      <c r="I67" s="11">
        <f>IF(I65="October", AJ65, IF(I65="November", MAX(AJ65:AK65), IF(I65="December", MAX(AJ65:AL65), IF(I65="January", MAX(AJ65:AM65), IF(I65="February", MAX(AJ65:AN65), IF(I65="March", MAX(AJ65:AO65), 0))))))</f>
        <v>0</v>
      </c>
      <c r="K67" s="11">
        <f>IF(I65="October", AV65, IF(I65="November", MAX(AV65:AW65), IF(I65="December", MAX(AV65:AX65), IF(I65="January", MAX(AV65:AY65), IF(I65="February", MAX(AV65:AZ65), IF(I65="March", MAX(AV65:BA65), 0))))))</f>
        <v>0</v>
      </c>
      <c r="L67" s="11"/>
      <c r="M67" s="11"/>
      <c r="N67" s="11"/>
      <c r="O67" s="11"/>
      <c r="P67" s="11"/>
      <c r="Q67" s="11"/>
      <c r="R67" s="11"/>
      <c r="S67" s="11"/>
      <c r="T67" s="11"/>
      <c r="U67" s="10"/>
      <c r="V67" s="10"/>
      <c r="W67" s="10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60" ht="15.75" customHeight="1" x14ac:dyDescent="0.2">
      <c r="B68" s="10"/>
      <c r="C68" s="10"/>
      <c r="D68" s="10"/>
      <c r="E68" s="10"/>
      <c r="F68" s="10"/>
      <c r="G68" s="11"/>
      <c r="H68" s="1" t="s">
        <v>67</v>
      </c>
      <c r="I68" s="11">
        <f>IF(I65="April", MAX(AJ65:AP65), IF(I65="May", MAX(AJ65:AQ65), IF(I65="June", MAX(AJ65:AR65),IF(I65="July", MAX(AJ65:AS65),IF(I65="August", MAX(AJ65:AT65),IF(I65="September", MAX(AJ65:AU65),0))))))</f>
        <v>776000</v>
      </c>
      <c r="K68" s="11">
        <f>IF(I65="April", MAX(AV65:BB65), IF(I65="May", MAX(AV65:BC65), IF(I65="June", MAX(AV65:BD65),IF(I65="July", MAX(AV65:BE65),IF(I65="August", MAX(AV65:BF65),IF(I65="September", MAX(AV65:BG65),0))))))</f>
        <v>721000</v>
      </c>
      <c r="L68" s="11"/>
      <c r="M68" s="11"/>
      <c r="N68" s="11"/>
      <c r="O68" s="11"/>
      <c r="P68" s="11"/>
      <c r="Q68" s="11"/>
      <c r="R68" s="11"/>
      <c r="S68" s="11"/>
      <c r="T68" s="11"/>
      <c r="U68" s="10"/>
      <c r="V68" s="10"/>
      <c r="W68" s="10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2:60" ht="15.75" customHeight="1" x14ac:dyDescent="0.2">
      <c r="B69" s="10"/>
      <c r="C69" s="10"/>
      <c r="D69" s="10"/>
      <c r="E69" s="10"/>
      <c r="F69" s="10"/>
      <c r="G69" s="11"/>
      <c r="H69" s="1" t="s">
        <v>68</v>
      </c>
      <c r="I69" s="11">
        <f>MAX(I67:I68)</f>
        <v>776000</v>
      </c>
      <c r="J69" s="11">
        <f>MAX(I67:I68)</f>
        <v>776000</v>
      </c>
      <c r="K69" s="11">
        <f>MAX(K67:K68)</f>
        <v>721000</v>
      </c>
      <c r="L69" s="11"/>
      <c r="M69" s="11"/>
      <c r="N69" s="11"/>
      <c r="O69" s="11"/>
      <c r="P69" s="11"/>
      <c r="Q69" s="11"/>
      <c r="R69" s="11"/>
      <c r="S69" s="11"/>
      <c r="T69" s="11"/>
      <c r="U69" s="10"/>
      <c r="V69" s="10"/>
      <c r="W69" s="10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2:60" ht="15.75" customHeight="1" x14ac:dyDescent="0.2">
      <c r="B70" s="10"/>
      <c r="C70" s="10"/>
      <c r="D70" s="10"/>
      <c r="E70" s="10"/>
      <c r="F70" s="10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0"/>
      <c r="V70" s="10"/>
      <c r="W70" s="10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2:60" ht="15.75" customHeight="1" thickBot="1" x14ac:dyDescent="0.25">
      <c r="B71" s="24"/>
      <c r="C71" s="24"/>
      <c r="D71" s="24"/>
      <c r="E71" s="24"/>
      <c r="F71" s="24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4"/>
      <c r="V71" s="10"/>
      <c r="W71" s="10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2:60" ht="15.75" customHeight="1" x14ac:dyDescent="0.2">
      <c r="B72" s="10"/>
      <c r="C72" s="10"/>
      <c r="D72" s="10"/>
      <c r="E72" s="10"/>
      <c r="F72" s="10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0"/>
      <c r="V72" s="10"/>
      <c r="W72" s="10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2:60" ht="15.75" customHeight="1" x14ac:dyDescent="0.2">
      <c r="B73" s="10"/>
      <c r="C73" s="10"/>
      <c r="D73" s="10"/>
      <c r="E73" s="10"/>
      <c r="F73" s="10"/>
      <c r="G73" s="11"/>
      <c r="H73" s="29" t="s">
        <v>18</v>
      </c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0"/>
      <c r="V73" s="10"/>
      <c r="W73" s="10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2:60" ht="15.75" customHeight="1" x14ac:dyDescent="0.2">
      <c r="B74" s="10"/>
      <c r="C74" s="10"/>
      <c r="D74" s="10"/>
      <c r="E74" s="10"/>
      <c r="F74" s="10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0"/>
      <c r="V74" s="10"/>
      <c r="W74" s="10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2:60" ht="15.75" customHeight="1" x14ac:dyDescent="0.2">
      <c r="B75" s="10"/>
      <c r="C75" s="10"/>
      <c r="D75" s="10"/>
      <c r="E75" s="10"/>
      <c r="F75" s="10"/>
      <c r="G75" s="11"/>
      <c r="H75" s="1" t="s">
        <v>64</v>
      </c>
      <c r="I75" s="1" t="str">
        <f>TEXT(ASD, "MMMM")</f>
        <v>September</v>
      </c>
      <c r="N75" s="11"/>
      <c r="O75" s="11"/>
      <c r="P75" s="11"/>
      <c r="Q75" s="11"/>
      <c r="R75" s="11"/>
      <c r="S75" s="11"/>
      <c r="T75" s="11"/>
      <c r="U75" s="10"/>
      <c r="V75" s="10"/>
      <c r="W75" s="10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">
        <f t="shared" ref="AJ75:BH75" si="4">AJ43</f>
        <v>746000</v>
      </c>
      <c r="AK75" s="1">
        <f t="shared" si="4"/>
        <v>776000</v>
      </c>
      <c r="AL75" s="1">
        <f t="shared" si="4"/>
        <v>769000</v>
      </c>
      <c r="AM75" s="1">
        <f t="shared" si="4"/>
        <v>789000</v>
      </c>
      <c r="AN75" s="1">
        <f t="shared" si="4"/>
        <v>567000</v>
      </c>
      <c r="AO75" s="1">
        <f t="shared" si="4"/>
        <v>448000</v>
      </c>
      <c r="AP75" s="1">
        <f t="shared" si="4"/>
        <v>563000</v>
      </c>
      <c r="AQ75" s="1">
        <f t="shared" si="4"/>
        <v>574000</v>
      </c>
      <c r="AR75" s="1">
        <f t="shared" si="4"/>
        <v>683000</v>
      </c>
      <c r="AS75" s="1">
        <f t="shared" si="4"/>
        <v>561000</v>
      </c>
      <c r="AT75" s="1">
        <f t="shared" si="4"/>
        <v>511000</v>
      </c>
      <c r="AU75" s="1">
        <f t="shared" si="4"/>
        <v>544000</v>
      </c>
      <c r="AV75" s="1">
        <f t="shared" si="4"/>
        <v>832000</v>
      </c>
      <c r="AW75" s="1">
        <f t="shared" si="4"/>
        <v>831000</v>
      </c>
      <c r="AX75" s="1">
        <f t="shared" si="4"/>
        <v>834000</v>
      </c>
      <c r="AY75" s="1">
        <f t="shared" si="4"/>
        <v>841000</v>
      </c>
      <c r="AZ75" s="1">
        <f t="shared" si="4"/>
        <v>667000</v>
      </c>
      <c r="BA75" s="1">
        <f t="shared" si="4"/>
        <v>664000</v>
      </c>
      <c r="BB75" s="1">
        <f t="shared" si="4"/>
        <v>577000</v>
      </c>
      <c r="BC75" s="1">
        <f t="shared" si="4"/>
        <v>635000</v>
      </c>
      <c r="BD75" s="1">
        <f t="shared" si="4"/>
        <v>418000</v>
      </c>
      <c r="BE75" s="1">
        <f t="shared" si="4"/>
        <v>615000</v>
      </c>
      <c r="BF75" s="1">
        <f t="shared" si="4"/>
        <v>594000</v>
      </c>
      <c r="BG75" s="1">
        <f t="shared" si="4"/>
        <v>516000</v>
      </c>
      <c r="BH75" s="1">
        <f t="shared" si="4"/>
        <v>0</v>
      </c>
    </row>
    <row r="76" spans="2:60" ht="15.75" customHeight="1" x14ac:dyDescent="0.2">
      <c r="B76" s="10"/>
      <c r="C76" s="10"/>
      <c r="D76" s="10"/>
      <c r="E76" s="10"/>
      <c r="F76" s="10"/>
      <c r="G76" s="11"/>
      <c r="H76" s="1" t="s">
        <v>65</v>
      </c>
      <c r="N76" s="11"/>
      <c r="O76" s="11"/>
      <c r="P76" s="11"/>
      <c r="Q76" s="11"/>
      <c r="R76" s="11"/>
      <c r="S76" s="11"/>
      <c r="T76" s="11"/>
      <c r="U76" s="10"/>
      <c r="V76" s="10"/>
      <c r="W76" s="10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2:60" ht="15.75" customHeight="1" x14ac:dyDescent="0.2">
      <c r="B77" s="10"/>
      <c r="C77" s="10"/>
      <c r="D77" s="10"/>
      <c r="E77" s="10"/>
      <c r="F77" s="10"/>
      <c r="G77" s="11"/>
      <c r="H77" s="1" t="s">
        <v>66</v>
      </c>
      <c r="I77" s="11">
        <f>IF(I75="October", AJ75, IF(I75="November", MAX(AJ75:AK75), IF(I75="December", MAX(AJ75:AL75), IF(I75="January", MAX(AJ75:AM75), IF(I75="February", MAX(AJ75:AN75), IF(I75="March", MAX(AJ75:AO75), 0))))))</f>
        <v>0</v>
      </c>
      <c r="K77" s="11">
        <f>IF(I75="October", AV75, IF(I75="November", MAX(AV75:AW75), IF(I75="December", MAX(AV75:AX75), IF(I75="January", MAX(AV75:AY75), IF(I75="February", MAX(AV75:AZ75), IF(I75="March", MAX(AV75:BA75), 0))))))</f>
        <v>0</v>
      </c>
      <c r="N77" s="11"/>
      <c r="O77" s="11"/>
      <c r="P77" s="11"/>
      <c r="Q77" s="11"/>
      <c r="R77" s="11"/>
      <c r="S77" s="11"/>
      <c r="T77" s="11"/>
      <c r="U77" s="10"/>
      <c r="V77" s="10"/>
      <c r="W77" s="10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2:60" ht="15.75" customHeight="1" x14ac:dyDescent="0.2">
      <c r="B78" s="10"/>
      <c r="C78" s="10"/>
      <c r="D78" s="10"/>
      <c r="E78" s="10"/>
      <c r="F78" s="10"/>
      <c r="G78" s="11"/>
      <c r="H78" s="1" t="s">
        <v>67</v>
      </c>
      <c r="I78" s="11">
        <f>IF(I75="April", MAX(AJ75:AP75), IF(I75="May", MAX(AJ75:AQ75), IF(I75="June", MAX(AJ75:AR75),IF(I75="July", MAX(AJ75:AS75),IF(I75="August", MAX(AJ75:AT75),IF(I75="September", MAX(AJ75:AU75),0))))))</f>
        <v>789000</v>
      </c>
      <c r="K78" s="11">
        <f>IF(I75="April", MAX(AV75:BB75), IF(I75="May", MAX(AV75:BC75), IF(I75="June", MAX(AV75:BD75),IF(I75="July", MAX(AV75:BE75),IF(I75="August", MAX(AV75:BF75),IF(I75="September", MAX(AV75:BG75),0))))))</f>
        <v>841000</v>
      </c>
      <c r="N78" s="11"/>
      <c r="O78" s="11"/>
      <c r="P78" s="11"/>
      <c r="Q78" s="11"/>
      <c r="R78" s="11"/>
      <c r="S78" s="11"/>
      <c r="T78" s="11"/>
      <c r="U78" s="10"/>
      <c r="V78" s="10"/>
      <c r="W78" s="10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2:60" ht="15.75" customHeight="1" x14ac:dyDescent="0.2">
      <c r="B79" s="10"/>
      <c r="C79" s="10"/>
      <c r="D79" s="10"/>
      <c r="E79" s="10"/>
      <c r="F79" s="10"/>
      <c r="G79" s="11"/>
      <c r="H79" s="1" t="s">
        <v>68</v>
      </c>
      <c r="I79" s="11">
        <f>MAX(I77:I78)</f>
        <v>789000</v>
      </c>
      <c r="J79" s="11">
        <f>MAX(I77:I78)</f>
        <v>789000</v>
      </c>
      <c r="K79" s="11">
        <f>MAX(K77:K78)</f>
        <v>841000</v>
      </c>
      <c r="N79" s="11"/>
      <c r="O79" s="11"/>
      <c r="P79" s="11"/>
      <c r="Q79" s="11"/>
      <c r="R79" s="11"/>
      <c r="S79" s="11"/>
      <c r="T79" s="11"/>
      <c r="U79" s="10"/>
      <c r="V79" s="10"/>
      <c r="W79" s="10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2:60" ht="15.75" customHeight="1" x14ac:dyDescent="0.2">
      <c r="B80" s="10"/>
      <c r="C80" s="10"/>
      <c r="D80" s="10"/>
      <c r="E80" s="10"/>
      <c r="F80" s="10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0"/>
      <c r="V80" s="10"/>
      <c r="W80" s="10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:59" ht="15.75" customHeight="1" thickBot="1" x14ac:dyDescent="0.25">
      <c r="B81" s="24"/>
      <c r="C81" s="24"/>
      <c r="D81" s="24"/>
      <c r="E81" s="24"/>
      <c r="F81" s="24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4"/>
      <c r="V81" s="10"/>
      <c r="W81" s="10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pans="1:59" ht="15.75" customHeight="1" x14ac:dyDescent="0.2">
      <c r="B82" s="10"/>
      <c r="C82" s="10"/>
      <c r="D82" s="10"/>
      <c r="E82" s="10"/>
      <c r="F82" s="10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0"/>
      <c r="V82" s="10"/>
      <c r="W82" s="10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pans="1:59" ht="15.75" customHeight="1" x14ac:dyDescent="0.2">
      <c r="C83" s="10"/>
      <c r="D83" s="10"/>
      <c r="E83" s="10"/>
      <c r="F83" s="10"/>
      <c r="G83" s="11"/>
      <c r="H83" s="22" t="s">
        <v>63</v>
      </c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0"/>
      <c r="V83" s="10"/>
      <c r="W83" s="10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</row>
    <row r="84" spans="1:59" ht="15.75" customHeight="1" x14ac:dyDescent="0.2">
      <c r="B84" s="10"/>
      <c r="C84" s="10"/>
      <c r="D84" s="10"/>
      <c r="E84" s="10"/>
      <c r="F84" s="10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0"/>
      <c r="V84" s="10"/>
      <c r="W84" s="10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1:59" ht="15.75" customHeight="1" x14ac:dyDescent="0.2">
      <c r="B85" s="10">
        <f>+B30</f>
        <v>677000</v>
      </c>
      <c r="C85" s="10"/>
      <c r="D85" s="10">
        <f>+D30</f>
        <v>636000</v>
      </c>
      <c r="E85" s="10"/>
      <c r="F85" s="10"/>
      <c r="G85" s="11"/>
      <c r="H85" s="11" t="s">
        <v>13</v>
      </c>
      <c r="I85" s="10">
        <f>+I30</f>
        <v>776000</v>
      </c>
      <c r="J85" s="11"/>
      <c r="K85" s="10">
        <f>+K30</f>
        <v>721000</v>
      </c>
      <c r="L85" s="11"/>
      <c r="M85" s="11"/>
      <c r="N85" s="11"/>
      <c r="O85" s="11"/>
      <c r="P85" s="11"/>
      <c r="Q85" s="10">
        <f>+Q30</f>
        <v>776000</v>
      </c>
      <c r="R85" s="11"/>
      <c r="S85" s="10">
        <f>+S30</f>
        <v>721000</v>
      </c>
      <c r="T85" s="11"/>
      <c r="U85" s="10"/>
      <c r="V85" s="10"/>
      <c r="W85" s="10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</row>
    <row r="86" spans="1:59" ht="15.75" customHeight="1" x14ac:dyDescent="0.2">
      <c r="B86" s="10">
        <f>DAY(I98)*24</f>
        <v>720</v>
      </c>
      <c r="C86" s="10"/>
      <c r="D86" s="53">
        <f>DAY(K98)*24</f>
        <v>720</v>
      </c>
      <c r="E86" s="10"/>
      <c r="F86" s="10"/>
      <c r="G86" s="11"/>
      <c r="H86" s="11" t="s">
        <v>47</v>
      </c>
      <c r="I86" s="11">
        <f>(I98-I97)*24</f>
        <v>8760</v>
      </c>
      <c r="J86" s="11"/>
      <c r="K86" s="11">
        <f>(K98-K97)*24</f>
        <v>8760</v>
      </c>
      <c r="L86" s="11"/>
      <c r="M86" s="11"/>
      <c r="N86" s="11"/>
      <c r="O86" s="11"/>
      <c r="P86" s="11"/>
      <c r="Q86" s="10">
        <f>(Q98-Q97)*24</f>
        <v>8760</v>
      </c>
      <c r="R86" s="11"/>
      <c r="S86" s="10">
        <f>(S98-S97)*24</f>
        <v>8760</v>
      </c>
      <c r="T86" s="11"/>
      <c r="U86" s="10"/>
      <c r="V86" s="10"/>
      <c r="W86" s="10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</row>
    <row r="87" spans="1:59" ht="15.75" customHeight="1" x14ac:dyDescent="0.2">
      <c r="B87" s="10">
        <f>+B85*B86</f>
        <v>487440000</v>
      </c>
      <c r="C87" s="10"/>
      <c r="D87" s="10">
        <f>+D85*D86</f>
        <v>457920000</v>
      </c>
      <c r="E87" s="10"/>
      <c r="F87" s="10"/>
      <c r="G87" s="11"/>
      <c r="H87" s="11" t="s">
        <v>48</v>
      </c>
      <c r="I87" s="10">
        <f>+I85*I86</f>
        <v>6797760000</v>
      </c>
      <c r="J87" s="11"/>
      <c r="K87" s="10">
        <f>+K85*K86</f>
        <v>6315960000</v>
      </c>
      <c r="L87" s="11"/>
      <c r="M87" s="11"/>
      <c r="N87" s="11"/>
      <c r="O87" s="11"/>
      <c r="P87" s="11"/>
      <c r="Q87" s="10">
        <f>+Q85*Q86</f>
        <v>6797760000</v>
      </c>
      <c r="R87" s="11"/>
      <c r="S87" s="10">
        <f>+S85*S86</f>
        <v>6315960000</v>
      </c>
      <c r="T87" s="11"/>
      <c r="U87" s="10"/>
      <c r="V87" s="10"/>
      <c r="W87" s="10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</row>
    <row r="88" spans="1:59" s="13" customFormat="1" ht="15.75" customHeight="1" x14ac:dyDescent="0.2">
      <c r="B88" s="12"/>
      <c r="C88" s="12"/>
      <c r="D88" s="12"/>
      <c r="E88" s="12"/>
      <c r="F88" s="12"/>
      <c r="U88" s="12"/>
      <c r="V88" s="12"/>
      <c r="W88" s="12"/>
    </row>
    <row r="89" spans="1:59" ht="15" x14ac:dyDescent="0.2">
      <c r="A89" s="1" t="s">
        <v>144</v>
      </c>
      <c r="B89" s="10">
        <v>354085000</v>
      </c>
      <c r="C89" s="10"/>
      <c r="D89" s="11">
        <v>282135000</v>
      </c>
      <c r="E89" s="10"/>
      <c r="F89" s="10">
        <f t="shared" ref="F89:F94" si="5">D89-B89</f>
        <v>-71950000</v>
      </c>
      <c r="G89" s="10"/>
      <c r="H89" s="11" t="s">
        <v>41</v>
      </c>
      <c r="I89" s="10">
        <v>3006300000</v>
      </c>
      <c r="J89" s="10"/>
      <c r="K89" s="10">
        <v>2898057000</v>
      </c>
      <c r="L89" s="10"/>
      <c r="M89" s="10">
        <f>K89-I89</f>
        <v>-108243000</v>
      </c>
      <c r="N89" s="10"/>
      <c r="O89" s="10"/>
      <c r="P89" s="30"/>
      <c r="Q89" s="11">
        <v>3006300000</v>
      </c>
      <c r="R89" s="11"/>
      <c r="S89" s="11">
        <v>2898057000</v>
      </c>
      <c r="T89" s="11"/>
      <c r="U89" s="10">
        <f>S89-Q89</f>
        <v>-108243000</v>
      </c>
      <c r="V89" s="11"/>
      <c r="W89" s="11"/>
      <c r="AJ89" s="1">
        <v>354085000</v>
      </c>
      <c r="AK89" s="1">
        <v>377750000</v>
      </c>
      <c r="AL89" s="1">
        <v>414383000</v>
      </c>
      <c r="AM89" s="1">
        <v>374804000</v>
      </c>
      <c r="AN89" s="1">
        <v>135567000</v>
      </c>
      <c r="AO89" s="1">
        <v>89690000</v>
      </c>
      <c r="AP89" s="1">
        <v>159915000</v>
      </c>
      <c r="AQ89" s="1">
        <v>264010000</v>
      </c>
      <c r="AR89" s="1">
        <v>294679000</v>
      </c>
      <c r="AS89" s="1">
        <v>150325000</v>
      </c>
      <c r="AT89" s="1">
        <v>189288000</v>
      </c>
      <c r="AU89" s="1">
        <v>201804000</v>
      </c>
      <c r="AV89" s="1">
        <v>282135000</v>
      </c>
      <c r="AW89" s="1">
        <v>331999000</v>
      </c>
      <c r="AX89" s="1">
        <v>339298000</v>
      </c>
      <c r="AY89" s="1">
        <v>255371000</v>
      </c>
      <c r="AZ89" s="1">
        <v>278937000</v>
      </c>
      <c r="BA89" s="1">
        <v>261986000</v>
      </c>
      <c r="BB89" s="1">
        <v>218679000</v>
      </c>
      <c r="BC89" s="1">
        <v>275046000</v>
      </c>
      <c r="BD89" s="1">
        <v>114788000</v>
      </c>
      <c r="BE89" s="1">
        <v>229058000</v>
      </c>
      <c r="BF89" s="1">
        <v>136116000</v>
      </c>
      <c r="BG89" s="1">
        <v>174644000</v>
      </c>
    </row>
    <row r="90" spans="1:59" ht="15.75" customHeight="1" x14ac:dyDescent="0.2">
      <c r="A90" s="1" t="s">
        <v>171</v>
      </c>
      <c r="B90" s="10">
        <v>29357000</v>
      </c>
      <c r="C90" s="10"/>
      <c r="D90" s="10">
        <v>25930000</v>
      </c>
      <c r="E90" s="10"/>
      <c r="F90" s="10">
        <f t="shared" si="5"/>
        <v>-3427000</v>
      </c>
      <c r="G90" s="11"/>
      <c r="H90" s="11" t="s">
        <v>170</v>
      </c>
      <c r="I90" s="11">
        <v>257759000</v>
      </c>
      <c r="J90" s="11"/>
      <c r="K90" s="11">
        <v>260280000</v>
      </c>
      <c r="L90" s="11"/>
      <c r="M90" s="10">
        <f>K90-I90</f>
        <v>2521000</v>
      </c>
      <c r="N90" s="11"/>
      <c r="O90" s="11"/>
      <c r="P90" s="11"/>
      <c r="Q90" s="11">
        <v>257759000</v>
      </c>
      <c r="R90" s="11"/>
      <c r="S90" s="11">
        <v>260280000</v>
      </c>
      <c r="T90" s="11"/>
      <c r="U90" s="10">
        <f>S90-Q90</f>
        <v>2521000</v>
      </c>
      <c r="V90" s="11"/>
      <c r="W90" s="11"/>
      <c r="AJ90" s="1">
        <v>29357000</v>
      </c>
      <c r="AK90" s="1">
        <v>30177000</v>
      </c>
      <c r="AL90" s="1">
        <v>32939000</v>
      </c>
      <c r="AM90" s="1">
        <v>30638000</v>
      </c>
      <c r="AN90" s="1">
        <v>13576000</v>
      </c>
      <c r="AO90" s="1">
        <v>6957000</v>
      </c>
      <c r="AP90" s="1">
        <v>16888000</v>
      </c>
      <c r="AQ90" s="1">
        <v>24633000</v>
      </c>
      <c r="AR90" s="1">
        <v>25658000</v>
      </c>
      <c r="AS90" s="1">
        <v>14480000</v>
      </c>
      <c r="AT90" s="1">
        <v>15421000</v>
      </c>
      <c r="AU90" s="1">
        <v>17035000</v>
      </c>
      <c r="AV90" s="1">
        <v>25930000</v>
      </c>
      <c r="AW90" s="1">
        <v>28072000</v>
      </c>
      <c r="AX90" s="1">
        <v>30184000</v>
      </c>
      <c r="AY90" s="1">
        <v>23059000</v>
      </c>
      <c r="AZ90" s="1">
        <v>27049000</v>
      </c>
      <c r="BA90" s="1">
        <v>23928000</v>
      </c>
      <c r="BB90" s="1">
        <v>22298000</v>
      </c>
      <c r="BC90" s="1">
        <v>23674000</v>
      </c>
      <c r="BD90" s="1">
        <v>10575000</v>
      </c>
      <c r="BE90" s="1">
        <v>20645000</v>
      </c>
      <c r="BF90" s="1">
        <v>13374000</v>
      </c>
      <c r="BG90" s="1">
        <v>11492000</v>
      </c>
    </row>
    <row r="91" spans="1:59" ht="15.75" customHeight="1" x14ac:dyDescent="0.2">
      <c r="A91" s="55" t="s">
        <v>153</v>
      </c>
      <c r="B91" s="56">
        <v>-78000</v>
      </c>
      <c r="C91" s="10"/>
      <c r="D91" s="56">
        <v>-142000</v>
      </c>
      <c r="E91" s="10"/>
      <c r="F91" s="56">
        <f t="shared" si="5"/>
        <v>-64000</v>
      </c>
      <c r="G91" s="11"/>
      <c r="H91" s="11" t="s">
        <v>172</v>
      </c>
      <c r="I91" s="57">
        <v>-1101000</v>
      </c>
      <c r="J91" s="11"/>
      <c r="K91" s="57">
        <v>-280000</v>
      </c>
      <c r="L91" s="11"/>
      <c r="M91" s="56">
        <f>K91-I91</f>
        <v>821000</v>
      </c>
      <c r="N91" s="11"/>
      <c r="O91" s="11"/>
      <c r="P91" s="11"/>
      <c r="Q91" s="57">
        <v>-1101000</v>
      </c>
      <c r="R91" s="11"/>
      <c r="S91" s="57">
        <v>-280000</v>
      </c>
      <c r="T91" s="11"/>
      <c r="U91" s="56">
        <f>S91-Q91</f>
        <v>821000</v>
      </c>
      <c r="V91" s="11"/>
      <c r="W91" s="11"/>
      <c r="AJ91" s="1">
        <v>-78000</v>
      </c>
      <c r="AK91" s="1">
        <v>-100000</v>
      </c>
      <c r="AL91" s="1">
        <v>-105000</v>
      </c>
      <c r="AM91" s="1">
        <v>-51000</v>
      </c>
      <c r="AN91" s="1">
        <v>-69000</v>
      </c>
      <c r="AO91" s="1">
        <v>-74000</v>
      </c>
      <c r="AP91" s="1">
        <v>-123000</v>
      </c>
      <c r="AQ91" s="1">
        <v>-123000</v>
      </c>
      <c r="AR91" s="1">
        <v>-147000</v>
      </c>
      <c r="AS91" s="1">
        <v>-139000</v>
      </c>
      <c r="AT91" s="1">
        <v>-21000</v>
      </c>
      <c r="AU91" s="1">
        <v>-71000</v>
      </c>
      <c r="AV91" s="1">
        <v>-142000</v>
      </c>
      <c r="AW91" s="1">
        <v>-102000</v>
      </c>
      <c r="AX91" s="1">
        <v>-66000</v>
      </c>
      <c r="AY91" s="1">
        <v>-83000</v>
      </c>
      <c r="AZ91" s="1">
        <v>-101000</v>
      </c>
      <c r="BA91" s="1">
        <v>105000</v>
      </c>
      <c r="BB91" s="1">
        <v>21000</v>
      </c>
      <c r="BC91" s="1">
        <v>4000</v>
      </c>
      <c r="BD91" s="1">
        <v>10000</v>
      </c>
      <c r="BE91" s="1">
        <v>1000</v>
      </c>
      <c r="BF91" s="1">
        <v>34000</v>
      </c>
      <c r="BG91" s="1">
        <v>39000</v>
      </c>
    </row>
    <row r="92" spans="1:59" ht="15.75" customHeight="1" x14ac:dyDescent="0.2">
      <c r="A92" s="55"/>
      <c r="B92" s="10">
        <f>SUM(B89-B90+B91)</f>
        <v>324650000</v>
      </c>
      <c r="C92" s="10"/>
      <c r="D92" s="10">
        <f>SUM(D89-D90+D91)</f>
        <v>256063000</v>
      </c>
      <c r="E92" s="10"/>
      <c r="F92" s="10">
        <f t="shared" si="5"/>
        <v>-68587000</v>
      </c>
      <c r="G92" s="11"/>
      <c r="H92" s="11" t="s">
        <v>173</v>
      </c>
      <c r="I92" s="10">
        <f>SUM(I89-I90+I91)</f>
        <v>2747440000</v>
      </c>
      <c r="J92" s="11"/>
      <c r="K92" s="10">
        <f>SUM(K89-K90+K91)</f>
        <v>2637497000</v>
      </c>
      <c r="L92" s="11"/>
      <c r="M92" s="10">
        <f>K92-I92</f>
        <v>-109943000</v>
      </c>
      <c r="N92" s="11"/>
      <c r="O92" s="11"/>
      <c r="P92" s="11"/>
      <c r="Q92" s="10">
        <f>SUM(Q89-Q90+Q91)</f>
        <v>2747440000</v>
      </c>
      <c r="R92" s="11"/>
      <c r="S92" s="10">
        <f>SUM(S89-S90+S91)</f>
        <v>2637497000</v>
      </c>
      <c r="T92" s="10"/>
      <c r="U92" s="10">
        <f>S92-Q92</f>
        <v>-109943000</v>
      </c>
      <c r="V92" s="11"/>
      <c r="W92" s="11"/>
    </row>
    <row r="93" spans="1:59" ht="15.75" customHeight="1" x14ac:dyDescent="0.2">
      <c r="A93" s="1" t="s">
        <v>120</v>
      </c>
      <c r="B93" s="10">
        <v>153320000</v>
      </c>
      <c r="C93" s="10"/>
      <c r="D93" s="10">
        <v>97737000</v>
      </c>
      <c r="E93" s="10"/>
      <c r="F93" s="10">
        <f t="shared" si="5"/>
        <v>-55583000</v>
      </c>
      <c r="G93" s="11"/>
      <c r="H93" s="11" t="s">
        <v>175</v>
      </c>
      <c r="I93" s="11">
        <v>1261077000</v>
      </c>
      <c r="J93" s="11"/>
      <c r="K93" s="11">
        <v>1330254000</v>
      </c>
      <c r="L93" s="11"/>
      <c r="M93" s="11"/>
      <c r="N93" s="11"/>
      <c r="O93" s="11"/>
      <c r="P93" s="11"/>
      <c r="Q93" s="11">
        <v>1261077000</v>
      </c>
      <c r="R93" s="11"/>
      <c r="S93" s="11">
        <v>1330254000</v>
      </c>
      <c r="T93" s="11"/>
      <c r="U93" s="11"/>
      <c r="V93" s="11"/>
      <c r="W93" s="11"/>
      <c r="AJ93" s="1">
        <v>153320000</v>
      </c>
      <c r="AK93" s="1">
        <v>107903000</v>
      </c>
      <c r="AL93" s="1">
        <v>118407000</v>
      </c>
      <c r="AM93" s="1">
        <v>147122000</v>
      </c>
      <c r="AN93" s="1">
        <v>61126000</v>
      </c>
      <c r="AO93" s="1">
        <v>73238000</v>
      </c>
      <c r="AP93" s="1">
        <v>85317000</v>
      </c>
      <c r="AQ93" s="1">
        <v>121761000</v>
      </c>
      <c r="AR93" s="1">
        <v>135052000</v>
      </c>
      <c r="AS93" s="1">
        <v>85373000</v>
      </c>
      <c r="AT93" s="1">
        <v>87748000</v>
      </c>
      <c r="AU93" s="1">
        <v>84710000</v>
      </c>
      <c r="AV93" s="1">
        <v>97737000</v>
      </c>
      <c r="AW93" s="1">
        <v>112292000</v>
      </c>
      <c r="AX93" s="1">
        <v>97746000</v>
      </c>
      <c r="AY93" s="1">
        <v>80938000</v>
      </c>
      <c r="AZ93" s="1">
        <v>173245000</v>
      </c>
      <c r="BA93" s="1">
        <v>186397000</v>
      </c>
      <c r="BB93" s="1">
        <v>153264000</v>
      </c>
      <c r="BC93" s="1">
        <v>117410000</v>
      </c>
      <c r="BD93" s="1">
        <v>40142000</v>
      </c>
      <c r="BE93" s="1">
        <v>98151000</v>
      </c>
      <c r="BF93" s="1">
        <v>74558000</v>
      </c>
      <c r="BG93" s="1">
        <v>98374000</v>
      </c>
    </row>
    <row r="94" spans="1:59" ht="15.75" customHeight="1" x14ac:dyDescent="0.2">
      <c r="A94" s="1" t="s">
        <v>183</v>
      </c>
      <c r="B94" s="56">
        <v>110316559</v>
      </c>
      <c r="C94" s="10"/>
      <c r="D94" s="56">
        <v>129011549</v>
      </c>
      <c r="E94" s="10"/>
      <c r="F94" s="56">
        <f t="shared" si="5"/>
        <v>18694990</v>
      </c>
      <c r="G94" s="11"/>
      <c r="H94" s="11" t="s">
        <v>49</v>
      </c>
      <c r="I94" s="57">
        <v>1812241044</v>
      </c>
      <c r="J94" s="11"/>
      <c r="K94" s="57">
        <v>1889046399</v>
      </c>
      <c r="L94" s="11"/>
      <c r="M94" s="56">
        <f>K94-I94</f>
        <v>76805355</v>
      </c>
      <c r="N94" s="11"/>
      <c r="O94" s="11"/>
      <c r="P94" s="11"/>
      <c r="Q94" s="57">
        <v>1812241044</v>
      </c>
      <c r="R94" s="11"/>
      <c r="S94" s="57">
        <v>1889046399</v>
      </c>
      <c r="T94" s="11"/>
      <c r="U94" s="56">
        <f>S94-Q94</f>
        <v>76805355</v>
      </c>
      <c r="V94" s="11"/>
      <c r="W94" s="11"/>
      <c r="AJ94" s="1">
        <v>110316559</v>
      </c>
      <c r="AK94" s="1">
        <v>110343571</v>
      </c>
      <c r="AL94" s="1">
        <v>120569515</v>
      </c>
      <c r="AM94" s="1">
        <v>129665483</v>
      </c>
      <c r="AN94" s="1">
        <v>199611944</v>
      </c>
      <c r="AO94" s="1">
        <v>210589110</v>
      </c>
      <c r="AP94" s="1">
        <v>176743729</v>
      </c>
      <c r="AQ94" s="1">
        <v>140026802</v>
      </c>
      <c r="AR94" s="1">
        <v>145519814</v>
      </c>
      <c r="AS94" s="1">
        <v>187478902</v>
      </c>
      <c r="AT94" s="1">
        <v>142889310</v>
      </c>
      <c r="AU94" s="1">
        <v>138486305</v>
      </c>
      <c r="AV94" s="1">
        <v>129011549</v>
      </c>
      <c r="AW94" s="1">
        <v>153374479</v>
      </c>
      <c r="AX94" s="1">
        <v>119641109</v>
      </c>
      <c r="AY94" s="1">
        <v>151285649</v>
      </c>
      <c r="AZ94" s="1">
        <v>155431351</v>
      </c>
      <c r="BA94" s="1">
        <v>161415146</v>
      </c>
      <c r="BB94" s="1">
        <v>191437699</v>
      </c>
      <c r="BC94" s="1">
        <v>131202175</v>
      </c>
      <c r="BD94" s="1">
        <v>206073791</v>
      </c>
      <c r="BE94" s="1">
        <v>146518601</v>
      </c>
      <c r="BF94" s="1">
        <v>174240226</v>
      </c>
      <c r="BG94" s="1">
        <v>169414624</v>
      </c>
    </row>
    <row r="95" spans="1:59" ht="15.75" customHeight="1" x14ac:dyDescent="0.2">
      <c r="B95" s="10">
        <f>+B92-B93+B94</f>
        <v>281646559</v>
      </c>
      <c r="C95" s="10"/>
      <c r="D95" s="10">
        <f>+D92-D93+D94</f>
        <v>287337549</v>
      </c>
      <c r="E95" s="10"/>
      <c r="F95" s="10">
        <f>+F89-F90-F93+F94</f>
        <v>5754990</v>
      </c>
      <c r="G95" s="11"/>
      <c r="H95" s="11" t="s">
        <v>174</v>
      </c>
      <c r="I95" s="10">
        <f>+I92-I93+I94</f>
        <v>3298604044</v>
      </c>
      <c r="J95" s="11"/>
      <c r="K95" s="10">
        <f>+K92-K93+K94</f>
        <v>3196289399</v>
      </c>
      <c r="L95" s="11"/>
      <c r="M95" s="10">
        <f>+M89-M90-M93+M94</f>
        <v>-33958645</v>
      </c>
      <c r="N95" s="11"/>
      <c r="O95" s="11"/>
      <c r="P95" s="11"/>
      <c r="Q95" s="10">
        <f>+Q92-Q93+Q94</f>
        <v>3298604044</v>
      </c>
      <c r="R95" s="11"/>
      <c r="S95" s="10">
        <f>+S92-S93+S94</f>
        <v>3196289399</v>
      </c>
      <c r="T95" s="11"/>
      <c r="U95" s="10">
        <f>+U89-U90-U93+U94</f>
        <v>-33958645</v>
      </c>
      <c r="V95" s="11"/>
      <c r="W95" s="11"/>
    </row>
    <row r="96" spans="1:59" ht="15.75" customHeight="1" x14ac:dyDescent="0.2">
      <c r="B96" s="12"/>
      <c r="C96" s="12"/>
      <c r="D96" s="12"/>
      <c r="E96" s="12"/>
      <c r="F96" s="12"/>
      <c r="S96" s="1">
        <v>2016</v>
      </c>
    </row>
    <row r="97" spans="2:21" ht="15.75" customHeight="1" x14ac:dyDescent="0.2">
      <c r="B97" s="12"/>
      <c r="C97" s="12"/>
      <c r="D97" s="12"/>
      <c r="E97" s="12"/>
      <c r="F97" s="12"/>
      <c r="H97" s="1" t="s">
        <v>161</v>
      </c>
      <c r="I97" s="50">
        <f>DATE(IF(MONTH(ASD)&gt;9,YEAR(ASD),YEAR(ASD)-1),9,30)</f>
        <v>44469</v>
      </c>
      <c r="K97" s="50">
        <f>DATE(IF(MONTH(ASD)&gt;9,YEAR(ASD)-1,YEAR(ASD)-2),9,30)</f>
        <v>44104</v>
      </c>
      <c r="Q97" s="50">
        <f>DATE(YEAR(Q98)-1,MONTH(Q98)+1,1)-1</f>
        <v>44469</v>
      </c>
      <c r="S97" s="50">
        <f>DATE(YEAR(S98)-1,MONTH(S98)+1,1)-1</f>
        <v>44104</v>
      </c>
    </row>
    <row r="98" spans="2:21" ht="15.75" customHeight="1" x14ac:dyDescent="0.2">
      <c r="B98" s="12"/>
      <c r="C98" s="12"/>
      <c r="D98" s="12"/>
      <c r="E98" s="12"/>
      <c r="F98" s="12"/>
      <c r="H98" s="1" t="s">
        <v>162</v>
      </c>
      <c r="I98" s="50" t="str">
        <f>ASD</f>
        <v>2022-09-30</v>
      </c>
      <c r="K98" s="50">
        <f>DATE(YEAR(I98)-1,MONTH(I98)+1,1)-1</f>
        <v>44469</v>
      </c>
      <c r="Q98" s="50" t="str">
        <f>I98</f>
        <v>2022-09-30</v>
      </c>
      <c r="S98" s="50">
        <f>DATE(YEAR(Q98)-1,MONTH(Q98)+1,1)-1</f>
        <v>44469</v>
      </c>
    </row>
    <row r="99" spans="2:21" ht="15.75" customHeight="1" x14ac:dyDescent="0.2">
      <c r="B99" s="12"/>
      <c r="C99" s="12"/>
      <c r="D99" s="12"/>
      <c r="E99" s="12"/>
      <c r="F99" s="12"/>
    </row>
    <row r="100" spans="2:21" ht="15.75" customHeight="1" x14ac:dyDescent="0.2">
      <c r="B100" s="12"/>
      <c r="C100" s="12"/>
      <c r="D100" s="12"/>
      <c r="E100" s="12"/>
      <c r="F100" s="12"/>
    </row>
    <row r="101" spans="2:21" ht="15.75" customHeight="1" x14ac:dyDescent="0.2">
      <c r="B101" s="12"/>
      <c r="C101" s="12"/>
      <c r="D101" s="12"/>
      <c r="E101" s="12"/>
      <c r="F101" s="12"/>
    </row>
    <row r="102" spans="2:21" ht="15.75" customHeight="1" x14ac:dyDescent="0.2">
      <c r="B102" s="12"/>
      <c r="C102" s="12"/>
      <c r="D102" s="12"/>
      <c r="E102" s="12"/>
      <c r="F102" s="12"/>
      <c r="H102" s="1" t="s">
        <v>64</v>
      </c>
      <c r="I102" s="1" t="str">
        <f>TEXT(ASD, "MMMM")</f>
        <v>September</v>
      </c>
      <c r="S102" s="50">
        <v>42460</v>
      </c>
    </row>
    <row r="103" spans="2:21" ht="15.75" customHeight="1" x14ac:dyDescent="0.2">
      <c r="B103" s="12"/>
      <c r="C103" s="12"/>
      <c r="D103" s="12"/>
      <c r="E103" s="12"/>
      <c r="F103" s="12"/>
      <c r="H103" s="1" t="s">
        <v>59</v>
      </c>
      <c r="S103" s="50">
        <v>42278</v>
      </c>
    </row>
    <row r="104" spans="2:21" ht="15.75" customHeight="1" x14ac:dyDescent="0.2">
      <c r="B104" s="12"/>
      <c r="C104" s="12"/>
      <c r="D104" s="12"/>
      <c r="E104" s="12"/>
      <c r="F104" s="12"/>
      <c r="H104" s="1" t="s">
        <v>60</v>
      </c>
      <c r="I104">
        <f>IF(OR(I102="October", I102="November", I102="December"), ASD-DATE(YEAR(ASD),9,30), IF(OR(I102="January", I102="February", I102="March"), ASD-DATE(YEAR(ASD)-1,9,30),DATE(YEAR(ASD),3,31)-DATE(YEAR(ASD)-1,9,30)))</f>
        <v>182</v>
      </c>
      <c r="S104" s="51">
        <f>S102-S103+1</f>
        <v>183</v>
      </c>
    </row>
    <row r="105" spans="2:21" ht="15.75" customHeight="1" x14ac:dyDescent="0.2">
      <c r="B105" s="12"/>
      <c r="C105" s="12"/>
      <c r="D105" s="12"/>
      <c r="E105" s="12"/>
      <c r="F105" s="12"/>
      <c r="H105" s="1" t="s">
        <v>61</v>
      </c>
      <c r="I105">
        <f>IF(I102="April", 30, IF(I102="May", 61, IF(I102="June", 91, IF(I102="July", 122, IF(I102="August", 153, IF(I102="September", 183, 0))))))</f>
        <v>183</v>
      </c>
    </row>
    <row r="106" spans="2:21" ht="15.75" customHeight="1" thickBot="1" x14ac:dyDescent="0.25">
      <c r="B106" s="12"/>
      <c r="C106" s="12"/>
      <c r="D106" s="12"/>
      <c r="E106" s="12"/>
      <c r="F106" s="12"/>
      <c r="I106" s="21">
        <f>SUM(I104:I105)</f>
        <v>365</v>
      </c>
      <c r="K106" s="1">
        <f>I106</f>
        <v>365</v>
      </c>
    </row>
    <row r="107" spans="2:21" ht="15.75" customHeight="1" thickTop="1" x14ac:dyDescent="0.2">
      <c r="B107" s="12"/>
      <c r="C107" s="12"/>
      <c r="D107" s="12"/>
      <c r="E107" s="12"/>
      <c r="F107" s="12"/>
      <c r="I107" s="50"/>
      <c r="K107" s="50"/>
    </row>
    <row r="108" spans="2:21" ht="15.75" customHeight="1" thickBot="1" x14ac:dyDescent="0.25">
      <c r="B108" s="26"/>
      <c r="C108" s="26"/>
      <c r="D108" s="26"/>
      <c r="E108" s="26"/>
      <c r="F108" s="26"/>
      <c r="G108" s="27"/>
      <c r="H108" s="27"/>
      <c r="I108" s="52"/>
      <c r="J108" s="27"/>
      <c r="K108" s="52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2:21" ht="15.75" customHeight="1" x14ac:dyDescent="0.2">
      <c r="B109" s="12"/>
      <c r="C109" s="12"/>
      <c r="D109" s="12"/>
      <c r="E109" s="12"/>
      <c r="F109" s="12"/>
    </row>
    <row r="110" spans="2:21" ht="15.75" customHeight="1" x14ac:dyDescent="0.2">
      <c r="B110" s="12"/>
      <c r="C110" s="12"/>
      <c r="D110" s="12"/>
      <c r="E110" s="12"/>
      <c r="F110" s="12"/>
      <c r="H110" s="28" t="s">
        <v>51</v>
      </c>
    </row>
    <row r="111" spans="2:21" ht="15.75" customHeight="1" x14ac:dyDescent="0.2">
      <c r="B111" s="12"/>
      <c r="C111" s="12"/>
      <c r="D111" s="12"/>
      <c r="E111" s="12"/>
      <c r="F111" s="12"/>
    </row>
    <row r="112" spans="2:21" ht="15.75" customHeight="1" x14ac:dyDescent="0.2">
      <c r="B112" s="1">
        <v>119444</v>
      </c>
      <c r="C112" s="12"/>
      <c r="D112" s="11">
        <v>118694</v>
      </c>
      <c r="E112" s="12"/>
      <c r="F112" s="12"/>
      <c r="H112" s="1" t="s">
        <v>52</v>
      </c>
      <c r="I112" s="11">
        <v>119444</v>
      </c>
      <c r="K112" s="11">
        <v>118694</v>
      </c>
      <c r="Q112" s="11">
        <v>119444</v>
      </c>
      <c r="S112" s="11">
        <v>118694</v>
      </c>
    </row>
    <row r="113" spans="1:59" ht="15.75" customHeight="1" x14ac:dyDescent="0.2">
      <c r="B113" s="1">
        <v>119399</v>
      </c>
      <c r="C113" s="12"/>
      <c r="D113" s="11">
        <v>118602</v>
      </c>
      <c r="E113" s="12"/>
      <c r="F113" s="12"/>
      <c r="H113" s="1" t="s">
        <v>53</v>
      </c>
      <c r="I113" s="11">
        <v>118694</v>
      </c>
      <c r="K113" s="11">
        <v>117326</v>
      </c>
      <c r="Q113" s="11">
        <v>118694</v>
      </c>
      <c r="S113" s="11">
        <v>117326</v>
      </c>
    </row>
    <row r="114" spans="1:59" ht="15.75" customHeight="1" thickBot="1" x14ac:dyDescent="0.25">
      <c r="B114" s="20">
        <f>B112-B113</f>
        <v>45</v>
      </c>
      <c r="C114" s="12"/>
      <c r="D114" s="20">
        <f>D112-D113</f>
        <v>92</v>
      </c>
      <c r="E114" s="12"/>
      <c r="F114" s="12"/>
      <c r="H114" s="1" t="s">
        <v>54</v>
      </c>
      <c r="I114" s="20">
        <f>I112-I113</f>
        <v>750</v>
      </c>
      <c r="K114" s="20">
        <f>K112-K113</f>
        <v>1368</v>
      </c>
      <c r="Q114" s="20">
        <f>Q112-Q113</f>
        <v>750</v>
      </c>
      <c r="S114" s="20">
        <f>S112-S113</f>
        <v>1368</v>
      </c>
    </row>
    <row r="115" spans="1:59" ht="15.75" customHeight="1" thickTop="1" x14ac:dyDescent="0.2">
      <c r="B115" s="12"/>
      <c r="C115" s="12"/>
      <c r="D115" s="12"/>
      <c r="E115" s="12"/>
      <c r="F115" s="12"/>
    </row>
    <row r="116" spans="1:59" ht="15.75" customHeight="1" thickBot="1" x14ac:dyDescent="0.25">
      <c r="B116" s="26"/>
      <c r="C116" s="26"/>
      <c r="D116" s="26"/>
      <c r="E116" s="26"/>
      <c r="F116" s="26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spans="1:59" ht="15.75" customHeight="1" x14ac:dyDescent="0.2">
      <c r="B117" s="12"/>
      <c r="C117" s="12"/>
      <c r="D117" s="12"/>
      <c r="E117" s="12"/>
      <c r="F117" s="12"/>
    </row>
    <row r="118" spans="1:59" ht="15.75" customHeight="1" x14ac:dyDescent="0.2">
      <c r="C118" s="12"/>
      <c r="D118" s="12"/>
      <c r="E118" s="12"/>
      <c r="F118" s="12"/>
      <c r="H118" s="23" t="s">
        <v>46</v>
      </c>
    </row>
    <row r="119" spans="1:59" ht="15.75" customHeight="1" x14ac:dyDescent="0.2">
      <c r="C119" s="12"/>
      <c r="D119" s="12"/>
      <c r="E119" s="12"/>
      <c r="F119" s="12"/>
      <c r="H119" s="14" t="s">
        <v>42</v>
      </c>
    </row>
    <row r="120" spans="1:59" ht="15.75" customHeight="1" x14ac:dyDescent="0.2">
      <c r="C120" s="12"/>
      <c r="D120" s="12"/>
      <c r="E120" s="12"/>
      <c r="F120" s="12"/>
      <c r="H120" s="1" t="s">
        <v>64</v>
      </c>
      <c r="I120" s="1" t="str">
        <f>TEXT(ASD, "MMMM")</f>
        <v>September</v>
      </c>
    </row>
    <row r="121" spans="1:59" ht="15.75" customHeight="1" x14ac:dyDescent="0.2">
      <c r="C121" s="12"/>
      <c r="D121" s="12"/>
      <c r="E121" s="12"/>
      <c r="F121" s="12"/>
      <c r="H121" s="14"/>
    </row>
    <row r="122" spans="1:59" ht="15.75" customHeight="1" x14ac:dyDescent="0.2">
      <c r="B122" s="5"/>
      <c r="C122" s="12"/>
      <c r="D122" s="12"/>
      <c r="E122" s="12"/>
      <c r="F122" s="12"/>
      <c r="J122" s="5"/>
      <c r="R122" s="5"/>
    </row>
    <row r="123" spans="1:59" ht="15.75" customHeight="1" x14ac:dyDescent="0.2">
      <c r="A123" s="15" t="s">
        <v>121</v>
      </c>
      <c r="B123" s="39">
        <v>0</v>
      </c>
      <c r="C123" s="31"/>
      <c r="D123" s="36">
        <v>0</v>
      </c>
      <c r="E123" s="31"/>
      <c r="F123" s="31"/>
      <c r="G123" s="19"/>
      <c r="H123" s="32" t="s">
        <v>22</v>
      </c>
      <c r="I123" s="36">
        <v>0</v>
      </c>
      <c r="J123" s="19"/>
      <c r="K123" s="36">
        <v>0</v>
      </c>
      <c r="L123" s="19"/>
      <c r="M123" s="19"/>
      <c r="N123" s="19"/>
      <c r="O123" s="19"/>
      <c r="P123" s="19"/>
      <c r="Q123" s="36">
        <v>0</v>
      </c>
      <c r="R123" s="19"/>
      <c r="S123" s="36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</row>
    <row r="124" spans="1:59" ht="15.75" customHeight="1" x14ac:dyDescent="0.2">
      <c r="B124" s="16"/>
      <c r="C124" s="12"/>
      <c r="D124" s="16"/>
      <c r="E124" s="12"/>
      <c r="F124" s="12"/>
      <c r="H124" s="12"/>
      <c r="I124" s="16"/>
      <c r="K124" s="16"/>
      <c r="Q124" s="16"/>
      <c r="S124" s="16"/>
    </row>
    <row r="125" spans="1:59" ht="15.75" customHeight="1" x14ac:dyDescent="0.2">
      <c r="A125" s="16" t="s">
        <v>122</v>
      </c>
      <c r="B125" s="1">
        <v>0</v>
      </c>
      <c r="C125" s="10"/>
      <c r="D125" s="16">
        <v>0</v>
      </c>
      <c r="E125" s="10"/>
      <c r="F125" s="10" t="str">
        <f>IF((SUM(A125:A125)-SUM(H125:H125))=0," ",SUM(A125:A125)-SUM(H125:H125))</f>
        <v xml:space="preserve"> </v>
      </c>
      <c r="G125" s="11"/>
      <c r="H125" s="11" t="s">
        <v>23</v>
      </c>
      <c r="I125" s="16">
        <v>0</v>
      </c>
      <c r="J125" s="11"/>
      <c r="K125" s="16">
        <v>0</v>
      </c>
      <c r="L125" s="11"/>
      <c r="M125" s="11"/>
      <c r="N125" s="11"/>
      <c r="O125" s="11"/>
      <c r="P125" s="11"/>
      <c r="Q125" s="16">
        <v>0</v>
      </c>
      <c r="R125" s="11"/>
      <c r="S125" s="16">
        <v>0</v>
      </c>
      <c r="T125" s="11"/>
      <c r="U125" s="10" t="str">
        <f>IF((SUM(Q125:Q125)-SUM(S125:S125))=0," ",SUM(Q125:Q125)-SUM(S125:S125))</f>
        <v xml:space="preserve"> </v>
      </c>
      <c r="V125" s="10"/>
      <c r="W125" s="10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</row>
    <row r="126" spans="1:59" ht="15.75" customHeight="1" x14ac:dyDescent="0.2">
      <c r="A126" s="15" t="s">
        <v>123</v>
      </c>
      <c r="B126" s="1">
        <v>0</v>
      </c>
      <c r="C126" s="10"/>
      <c r="D126" s="16">
        <v>0</v>
      </c>
      <c r="E126" s="10"/>
      <c r="F126" s="10" t="str">
        <f>IF((SUM(A126:A126)-SUM(H126:H126))=0," ",SUM(A126:A126)-SUM(H126:H126))</f>
        <v xml:space="preserve"> </v>
      </c>
      <c r="G126" s="11"/>
      <c r="H126" s="11" t="s">
        <v>70</v>
      </c>
      <c r="I126" s="16">
        <v>0</v>
      </c>
      <c r="J126" s="11"/>
      <c r="K126" s="16">
        <v>0</v>
      </c>
      <c r="L126" s="11"/>
      <c r="M126" s="11"/>
      <c r="N126" s="11"/>
      <c r="O126" s="11"/>
      <c r="P126" s="11"/>
      <c r="Q126" s="16">
        <v>0</v>
      </c>
      <c r="R126" s="11"/>
      <c r="S126" s="16">
        <v>0</v>
      </c>
      <c r="T126" s="11"/>
      <c r="U126" s="10" t="str">
        <f>IF((SUM(Q126:Q126)-SUM(S126:S126))=0," ",SUM(Q126:Q126)-SUM(S126:S126))</f>
        <v xml:space="preserve"> </v>
      </c>
      <c r="V126" s="10"/>
      <c r="W126" s="10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</row>
    <row r="127" spans="1:59" ht="15.75" customHeight="1" x14ac:dyDescent="0.2">
      <c r="A127" s="16"/>
      <c r="C127" s="10"/>
      <c r="D127" s="16"/>
      <c r="E127" s="10"/>
      <c r="F127" s="10"/>
      <c r="G127" s="11"/>
      <c r="H127" s="37" t="s">
        <v>71</v>
      </c>
      <c r="I127" s="11">
        <f>IF(I75="October", (AJ127/1000000), IF(I75="November", (SUM(AJ127:AK127)/1000000), IF(I75="December", (SUM(AJ127:AL127)/1000000), IF(I75="January", (SUM(AJ127:AM127)/1000000), IF(I75="February", (SUM(AJ127:AN127)/1000000), IF(I75="March", (SUM(AJ127:AO127)/1000000), 0))))))</f>
        <v>0</v>
      </c>
      <c r="J127" s="11"/>
      <c r="K127" s="11">
        <f>IF(I75="October", (AV127/1000000), IF(I75="November", (SUM(AV127:AW127)/1000000), IF(I75="December", (SUM(AV127:AX127)/1000000), IF(I75="January", (SUM(AV127:AY127)/1000000), IF(I75="February", (SUM(AV127:AZ127)/1000000), IF(I75="March", (SUM(AV127:BA127)/1000000), 0))))))</f>
        <v>0</v>
      </c>
      <c r="L127" s="11"/>
      <c r="M127" s="11"/>
      <c r="N127" s="11"/>
      <c r="O127" s="11"/>
      <c r="P127" s="11"/>
      <c r="Q127" s="16"/>
      <c r="R127" s="11"/>
      <c r="S127" s="16"/>
      <c r="T127" s="11"/>
      <c r="U127" s="10"/>
      <c r="V127" s="10"/>
      <c r="W127" s="10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">
        <f>AJ125*AJ126*2000</f>
        <v>0</v>
      </c>
      <c r="AK127" s="1">
        <f t="shared" ref="AK127:BG127" si="6">AK125*AK126*2000</f>
        <v>0</v>
      </c>
      <c r="AL127" s="1">
        <f t="shared" si="6"/>
        <v>0</v>
      </c>
      <c r="AM127" s="1">
        <f t="shared" si="6"/>
        <v>0</v>
      </c>
      <c r="AN127" s="1">
        <f t="shared" si="6"/>
        <v>0</v>
      </c>
      <c r="AO127" s="1">
        <f t="shared" si="6"/>
        <v>0</v>
      </c>
      <c r="AP127" s="1">
        <f t="shared" si="6"/>
        <v>0</v>
      </c>
      <c r="AQ127" s="1">
        <f t="shared" si="6"/>
        <v>0</v>
      </c>
      <c r="AR127" s="1">
        <f t="shared" si="6"/>
        <v>0</v>
      </c>
      <c r="AS127" s="1">
        <f t="shared" si="6"/>
        <v>0</v>
      </c>
      <c r="AT127" s="1">
        <f t="shared" si="6"/>
        <v>0</v>
      </c>
      <c r="AU127" s="1">
        <f t="shared" si="6"/>
        <v>0</v>
      </c>
      <c r="AV127" s="1">
        <f t="shared" si="6"/>
        <v>0</v>
      </c>
      <c r="AW127" s="1">
        <f t="shared" si="6"/>
        <v>0</v>
      </c>
      <c r="AX127" s="1">
        <f t="shared" si="6"/>
        <v>0</v>
      </c>
      <c r="AY127" s="1">
        <f t="shared" si="6"/>
        <v>0</v>
      </c>
      <c r="AZ127" s="1">
        <f t="shared" si="6"/>
        <v>0</v>
      </c>
      <c r="BA127" s="1">
        <f t="shared" si="6"/>
        <v>0</v>
      </c>
      <c r="BB127" s="1">
        <f t="shared" si="6"/>
        <v>0</v>
      </c>
      <c r="BC127" s="1">
        <f t="shared" si="6"/>
        <v>0</v>
      </c>
      <c r="BD127" s="1">
        <f t="shared" si="6"/>
        <v>0</v>
      </c>
      <c r="BE127" s="1">
        <f t="shared" si="6"/>
        <v>0</v>
      </c>
      <c r="BF127" s="1">
        <f t="shared" si="6"/>
        <v>0</v>
      </c>
      <c r="BG127" s="1">
        <f t="shared" si="6"/>
        <v>0</v>
      </c>
    </row>
    <row r="128" spans="1:59" ht="15.75" customHeight="1" x14ac:dyDescent="0.2">
      <c r="A128" s="16"/>
      <c r="C128" s="10"/>
      <c r="D128" s="16"/>
      <c r="E128" s="10"/>
      <c r="F128" s="10"/>
      <c r="G128" s="11"/>
      <c r="H128" s="37" t="s">
        <v>72</v>
      </c>
      <c r="I128" s="11">
        <f>IF(I75="April", (SUM(AJ127:AP127)/1000000), IF(I75="May", (SUM(AJ127:AQ127)/1000000), IF(I75="June", (SUM(AJ127:AR127)/1000000),IF(I75="July", (SUM(AJ127:AS127)/1000000),IF(I75="August", (SUM(AJ127:AT127)/1000000),IF(I75="September", (SUM(AJ127:AU127)/1000000),0))))))</f>
        <v>0</v>
      </c>
      <c r="J128" s="11"/>
      <c r="K128" s="11">
        <f>IF(I75="April", (SUM(AV127:BB127)/1000000), IF(I75="May", (SUM(AV127:BC127)/1000000), IF(I75="June", (SUM(AV127:BD127)/1000000),IF(I75="July", (SUM(AV127:BE127)/1000000),IF(I75="August", (SUM(AV127:BF127)/1000000),IF(I75="September", (SUM(AV127:BG127)/1000000),0))))))</f>
        <v>0</v>
      </c>
      <c r="L128" s="11"/>
      <c r="M128" s="11"/>
      <c r="N128" s="11"/>
      <c r="O128" s="11"/>
      <c r="P128" s="11"/>
      <c r="Q128" s="16"/>
      <c r="R128" s="11"/>
      <c r="S128" s="16"/>
      <c r="T128" s="11"/>
      <c r="U128" s="10"/>
      <c r="V128" s="10"/>
      <c r="W128" s="10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</row>
    <row r="129" spans="1:59" ht="15.75" customHeight="1" x14ac:dyDescent="0.2">
      <c r="B129" s="36">
        <f>ROUND(((B125*(B126*2000))/1000000), 0)</f>
        <v>0</v>
      </c>
      <c r="C129" s="31"/>
      <c r="D129" s="36">
        <f>ROUND(((D125*(D126*2000))/1000000), 0)</f>
        <v>0</v>
      </c>
      <c r="E129" s="31"/>
      <c r="F129" s="31"/>
      <c r="G129" s="19"/>
      <c r="H129" s="33" t="s">
        <v>24</v>
      </c>
      <c r="I129" s="36">
        <f>I127+I128</f>
        <v>0</v>
      </c>
      <c r="J129" s="19"/>
      <c r="K129" s="36">
        <f>K127+K128</f>
        <v>0</v>
      </c>
      <c r="L129" s="19"/>
      <c r="M129" s="19"/>
      <c r="N129" s="19"/>
      <c r="O129" s="19"/>
      <c r="P129" s="19"/>
      <c r="Q129" s="36">
        <f>ROUND(IF(SUM(AJ127:AU127)=0,"0",(SUM(AJ127:AU127))/1000000),0)</f>
        <v>0</v>
      </c>
      <c r="R129" s="19"/>
      <c r="S129" s="36">
        <f>ROUND(IF(SUM(AV127:BG127)=0,"0",(SUM(AV127:BG127))/1000000),0)</f>
        <v>0</v>
      </c>
    </row>
    <row r="130" spans="1:59" ht="15.75" customHeight="1" x14ac:dyDescent="0.2">
      <c r="B130" s="16"/>
      <c r="C130" s="12"/>
      <c r="D130" s="16"/>
      <c r="E130" s="12"/>
      <c r="F130" s="12"/>
      <c r="H130" s="13"/>
      <c r="I130" s="16"/>
      <c r="K130" s="16"/>
      <c r="Q130" s="16"/>
      <c r="S130" s="16"/>
    </row>
    <row r="131" spans="1:59" ht="15.75" customHeight="1" x14ac:dyDescent="0.2">
      <c r="A131" s="16" t="s">
        <v>124</v>
      </c>
      <c r="B131" s="1">
        <v>0</v>
      </c>
      <c r="C131" s="12"/>
      <c r="D131" s="16">
        <v>0</v>
      </c>
      <c r="E131" s="12"/>
      <c r="F131" s="12"/>
      <c r="H131" s="13" t="s">
        <v>150</v>
      </c>
      <c r="I131" s="16">
        <v>0</v>
      </c>
      <c r="K131" s="16">
        <v>0</v>
      </c>
      <c r="Q131" s="16">
        <v>0</v>
      </c>
      <c r="S131" s="16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</row>
    <row r="132" spans="1:59" ht="15.75" customHeight="1" x14ac:dyDescent="0.2">
      <c r="A132" s="15"/>
      <c r="B132" s="1">
        <v>91600</v>
      </c>
      <c r="C132" s="12"/>
      <c r="D132" s="38">
        <v>91600</v>
      </c>
      <c r="E132" s="12"/>
      <c r="F132" s="12"/>
      <c r="H132" s="13" t="s">
        <v>69</v>
      </c>
      <c r="I132" s="38">
        <v>91600</v>
      </c>
      <c r="K132" s="38">
        <v>91600</v>
      </c>
      <c r="Q132" s="38">
        <v>91600</v>
      </c>
      <c r="S132" s="38">
        <v>91600</v>
      </c>
    </row>
    <row r="133" spans="1:59" ht="15.75" customHeight="1" x14ac:dyDescent="0.2">
      <c r="A133" s="16"/>
      <c r="C133" s="12"/>
      <c r="D133" s="16"/>
      <c r="E133" s="12"/>
      <c r="F133" s="12"/>
      <c r="H133" s="37" t="s">
        <v>71</v>
      </c>
      <c r="I133" s="11">
        <f>IF(I75="October", (AJ133/1000000), IF(I75="November", (SUM(AJ133:AK133)/1000000), IF(I75="December", (SUM(AJ133:AL133)/1000000), IF(I75="January", (SUM(AJ133:AM133)/1000000), IF(I75="February", (SUM(AJ133:AN133)/1000000), IF(I75="March", (SUM(AJ133:AO133)/1000000), 0))))))</f>
        <v>0</v>
      </c>
      <c r="J133" s="11"/>
      <c r="K133" s="11">
        <f>IF(I75="October", (AV133/1000000), IF(I75="November", (SUM(AV133:AW133)/1000000), IF(I75="December", (SUM(AV133:AX133)/1000000), IF(I75="January", (SUM(AV133:AY133)/1000000), IF(I75="February", (SUM(AV133:AZ133)/1000000), IF(I75="March", (SUM(AV133:BA133)/1000000), 0))))))</f>
        <v>0</v>
      </c>
      <c r="Q133" s="16"/>
      <c r="S133" s="16"/>
      <c r="AJ133" s="1">
        <f>AJ131*AJ132</f>
        <v>0</v>
      </c>
      <c r="AK133" s="1">
        <f t="shared" ref="AK133:BG133" si="7">AK131*AK132</f>
        <v>0</v>
      </c>
      <c r="AL133" s="1">
        <f t="shared" si="7"/>
        <v>0</v>
      </c>
      <c r="AM133" s="1">
        <f t="shared" si="7"/>
        <v>0</v>
      </c>
      <c r="AN133" s="1">
        <f t="shared" si="7"/>
        <v>0</v>
      </c>
      <c r="AO133" s="1">
        <f t="shared" si="7"/>
        <v>0</v>
      </c>
      <c r="AP133" s="1">
        <f t="shared" si="7"/>
        <v>0</v>
      </c>
      <c r="AQ133" s="1">
        <f t="shared" si="7"/>
        <v>0</v>
      </c>
      <c r="AR133" s="1">
        <f t="shared" si="7"/>
        <v>0</v>
      </c>
      <c r="AS133" s="1">
        <f t="shared" si="7"/>
        <v>0</v>
      </c>
      <c r="AT133" s="1">
        <f t="shared" si="7"/>
        <v>0</v>
      </c>
      <c r="AU133" s="1">
        <f t="shared" si="7"/>
        <v>0</v>
      </c>
      <c r="AV133" s="1">
        <f t="shared" si="7"/>
        <v>0</v>
      </c>
      <c r="AW133" s="1">
        <f t="shared" si="7"/>
        <v>0</v>
      </c>
      <c r="AX133" s="1">
        <f t="shared" si="7"/>
        <v>0</v>
      </c>
      <c r="AY133" s="1">
        <f t="shared" si="7"/>
        <v>0</v>
      </c>
      <c r="AZ133" s="1">
        <f t="shared" si="7"/>
        <v>0</v>
      </c>
      <c r="BA133" s="1">
        <f t="shared" si="7"/>
        <v>0</v>
      </c>
      <c r="BB133" s="1">
        <f t="shared" si="7"/>
        <v>0</v>
      </c>
      <c r="BC133" s="1">
        <f t="shared" si="7"/>
        <v>0</v>
      </c>
      <c r="BD133" s="1">
        <f t="shared" si="7"/>
        <v>0</v>
      </c>
      <c r="BE133" s="1">
        <f t="shared" si="7"/>
        <v>0</v>
      </c>
      <c r="BF133" s="1">
        <f t="shared" si="7"/>
        <v>0</v>
      </c>
      <c r="BG133" s="1">
        <f t="shared" si="7"/>
        <v>0</v>
      </c>
    </row>
    <row r="134" spans="1:59" ht="15.75" customHeight="1" x14ac:dyDescent="0.2">
      <c r="A134" s="16"/>
      <c r="C134" s="12"/>
      <c r="D134" s="15"/>
      <c r="E134" s="12"/>
      <c r="F134" s="12"/>
      <c r="H134" s="37" t="s">
        <v>72</v>
      </c>
      <c r="I134" s="11">
        <f>IF(I75="April", (SUM(AJ133:AP133)/1000000), IF(I75="May", (SUM(AJ133:AQ133)/1000000), IF(I75="June", (SUM(AJ133:AR133)/1000000),IF(I75="July", (SUM(AJ133:AS133)/1000000),IF(I75="August", (SUM(AJ133:AT133)/1000000),IF(I75="September", (SUM(AJ133:AU133)/1000000),0))))))</f>
        <v>0</v>
      </c>
      <c r="J134" s="11"/>
      <c r="K134" s="11">
        <f>IF(I75="April", (SUM(AV133:BB133)/1000000), IF(I75="May", (SUM(AV133:BC133)/1000000), IF(I75="June", (SUM(AV133:BD133)/1000000),IF(I75="July", (SUM(AV133:BE133)/1000000),IF(I75="August", (SUM(AV133:BF133)/1000000),IF(I75="September", (SUM(AV133:BG133)/1000000),0))))))</f>
        <v>0</v>
      </c>
      <c r="Q134" s="15"/>
      <c r="S134" s="15"/>
    </row>
    <row r="135" spans="1:59" ht="15.75" customHeight="1" x14ac:dyDescent="0.2">
      <c r="B135" s="36">
        <f>ROUND(((B131*B132)/1000000),0)</f>
        <v>0</v>
      </c>
      <c r="C135" s="31"/>
      <c r="D135" s="35">
        <f>ROUND(((D131*D132)/1000000),0)</f>
        <v>0</v>
      </c>
      <c r="E135" s="31"/>
      <c r="F135" s="31"/>
      <c r="G135" s="19"/>
      <c r="H135" s="33" t="s">
        <v>151</v>
      </c>
      <c r="I135" s="36">
        <f>ROUND(((I131*I132)/1000000),0)</f>
        <v>0</v>
      </c>
      <c r="J135" s="19"/>
      <c r="K135" s="36">
        <f>ROUND(((K131*K132)/1000000),0)</f>
        <v>0</v>
      </c>
      <c r="L135" s="19"/>
      <c r="M135" s="19"/>
      <c r="N135" s="19"/>
      <c r="O135" s="19"/>
      <c r="P135" s="19"/>
      <c r="Q135" s="36">
        <f>ROUND(((Q131*Q132)/1000000),0)</f>
        <v>0</v>
      </c>
      <c r="R135" s="19"/>
      <c r="S135" s="36">
        <f>ROUND(((S131*S132)/1000000),0)</f>
        <v>0</v>
      </c>
    </row>
    <row r="136" spans="1:59" ht="15.75" customHeight="1" x14ac:dyDescent="0.2">
      <c r="B136" s="16"/>
      <c r="C136" s="12"/>
      <c r="D136" s="16"/>
      <c r="E136" s="12"/>
      <c r="F136" s="12"/>
      <c r="H136" s="13"/>
      <c r="I136" s="16"/>
      <c r="K136" s="16"/>
      <c r="Q136" s="16"/>
      <c r="S136" s="16"/>
    </row>
    <row r="137" spans="1:59" ht="15.75" customHeight="1" x14ac:dyDescent="0.2">
      <c r="B137" s="16"/>
      <c r="C137" s="12"/>
      <c r="D137" s="16"/>
      <c r="E137" s="12"/>
      <c r="F137" s="12"/>
      <c r="H137" s="13"/>
      <c r="I137" s="16"/>
      <c r="K137" s="16"/>
      <c r="Q137" s="16"/>
      <c r="S137" s="16"/>
    </row>
    <row r="138" spans="1:59" ht="15.75" customHeight="1" x14ac:dyDescent="0.2">
      <c r="B138" s="16"/>
      <c r="C138" s="12"/>
      <c r="D138" s="16"/>
      <c r="E138" s="12"/>
      <c r="F138" s="12"/>
      <c r="H138" s="13"/>
      <c r="I138" s="16"/>
      <c r="K138" s="16"/>
      <c r="Q138" s="16"/>
      <c r="S138" s="16"/>
    </row>
    <row r="139" spans="1:59" ht="15.75" customHeight="1" x14ac:dyDescent="0.2">
      <c r="A139" s="16" t="s">
        <v>125</v>
      </c>
      <c r="B139" s="1">
        <v>0</v>
      </c>
      <c r="C139" s="12"/>
      <c r="D139" s="16">
        <v>0</v>
      </c>
      <c r="E139" s="12"/>
      <c r="F139" s="12"/>
      <c r="H139" s="13" t="s">
        <v>25</v>
      </c>
      <c r="I139" s="16">
        <v>0</v>
      </c>
      <c r="K139" s="16">
        <v>0</v>
      </c>
      <c r="Q139" s="16">
        <v>0</v>
      </c>
      <c r="S139" s="16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</row>
    <row r="140" spans="1:59" ht="15.75" customHeight="1" x14ac:dyDescent="0.2">
      <c r="A140" s="15" t="s">
        <v>126</v>
      </c>
      <c r="B140" s="1">
        <v>0</v>
      </c>
      <c r="C140" s="12"/>
      <c r="D140" s="16">
        <v>0</v>
      </c>
      <c r="E140" s="12"/>
      <c r="F140" s="12"/>
      <c r="H140" s="13" t="s">
        <v>73</v>
      </c>
      <c r="I140" s="16">
        <v>0</v>
      </c>
      <c r="K140" s="16">
        <v>0</v>
      </c>
      <c r="Q140" s="16">
        <v>0</v>
      </c>
      <c r="S140" s="16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</row>
    <row r="141" spans="1:59" ht="15.75" customHeight="1" x14ac:dyDescent="0.2">
      <c r="A141" s="16"/>
      <c r="C141" s="12"/>
      <c r="D141" s="16"/>
      <c r="E141" s="12"/>
      <c r="F141" s="12"/>
      <c r="H141" s="37" t="s">
        <v>71</v>
      </c>
      <c r="I141" s="11">
        <f>IF(I75="October", (AJ141/1000000), IF(I75="November", (SUM(AJ141:AK141)/1000000), IF(I75="December", (SUM(AJ141:AL141)/1000000), IF(I75="January", (SUM(AJ141:AM141)/1000000), IF(I75="February", (SUM(AJ141:AN141)/1000000), IF(I75="March", (SUM(AJ141:AO141)/1000000), 0))))))</f>
        <v>0</v>
      </c>
      <c r="J141" s="11"/>
      <c r="K141" s="11">
        <f>IF(I75="October", (AV141/1000000), IF(I75="November", (SUM(AV141:AW141)/1000000), IF(I75="December", (SUM(AV141:AX141)/1000000), IF(I75="January", (SUM(AV141:AY141)/1000000), IF(I75="February", (SUM(AV141:AZ141)/1000000), IF(I75="March", (SUM(AV141:BA141)/1000000), 0))))))</f>
        <v>0</v>
      </c>
      <c r="Q141" s="16"/>
      <c r="S141" s="16"/>
      <c r="AJ141" s="1">
        <f>AJ139*AJ140</f>
        <v>0</v>
      </c>
      <c r="AK141" s="1">
        <f t="shared" ref="AK141:BG141" si="8">AK139*AK140</f>
        <v>0</v>
      </c>
      <c r="AL141" s="1">
        <f t="shared" si="8"/>
        <v>0</v>
      </c>
      <c r="AM141" s="1">
        <f t="shared" si="8"/>
        <v>0</v>
      </c>
      <c r="AN141" s="1">
        <f t="shared" si="8"/>
        <v>0</v>
      </c>
      <c r="AO141" s="1">
        <f t="shared" si="8"/>
        <v>0</v>
      </c>
      <c r="AP141" s="1">
        <f t="shared" si="8"/>
        <v>0</v>
      </c>
      <c r="AQ141" s="1">
        <f t="shared" si="8"/>
        <v>0</v>
      </c>
      <c r="AR141" s="1">
        <f t="shared" si="8"/>
        <v>0</v>
      </c>
      <c r="AS141" s="1">
        <f t="shared" si="8"/>
        <v>0</v>
      </c>
      <c r="AT141" s="1">
        <f t="shared" si="8"/>
        <v>0</v>
      </c>
      <c r="AU141" s="1">
        <f t="shared" si="8"/>
        <v>0</v>
      </c>
      <c r="AV141" s="1">
        <f t="shared" si="8"/>
        <v>0</v>
      </c>
      <c r="AW141" s="1">
        <f t="shared" si="8"/>
        <v>0</v>
      </c>
      <c r="AX141" s="1">
        <f t="shared" si="8"/>
        <v>0</v>
      </c>
      <c r="AY141" s="1">
        <f t="shared" si="8"/>
        <v>0</v>
      </c>
      <c r="AZ141" s="1">
        <f t="shared" si="8"/>
        <v>0</v>
      </c>
      <c r="BA141" s="1">
        <f t="shared" si="8"/>
        <v>0</v>
      </c>
      <c r="BB141" s="1">
        <f t="shared" si="8"/>
        <v>0</v>
      </c>
      <c r="BC141" s="1">
        <f t="shared" si="8"/>
        <v>0</v>
      </c>
      <c r="BD141" s="1">
        <f t="shared" si="8"/>
        <v>0</v>
      </c>
      <c r="BE141" s="1">
        <f t="shared" si="8"/>
        <v>0</v>
      </c>
      <c r="BF141" s="1">
        <f t="shared" si="8"/>
        <v>0</v>
      </c>
      <c r="BG141" s="1">
        <f t="shared" si="8"/>
        <v>0</v>
      </c>
    </row>
    <row r="142" spans="1:59" ht="15.75" customHeight="1" x14ac:dyDescent="0.2">
      <c r="A142" s="16"/>
      <c r="C142" s="12"/>
      <c r="D142" s="16"/>
      <c r="E142" s="12"/>
      <c r="F142" s="12"/>
      <c r="H142" s="37" t="s">
        <v>72</v>
      </c>
      <c r="I142" s="11">
        <f>IF(I75="April", (SUM(AJ141:AP141)/1000000), IF(I75="May", (SUM(AJ141:AQ141)/1000000), IF(I75="June", (SUM(AJ141:AR141)/1000000),IF(I75="July", (SUM(AJ141:AS141)/1000000),IF(I75="August", (SUM(AJ141:AT141)/1000000),IF(I75="September", (SUM(AJ141:AU141)/1000000),0))))))</f>
        <v>0</v>
      </c>
      <c r="J142" s="11"/>
      <c r="K142" s="11">
        <f>IF(I75="April", (SUM(AV141:BB141)/1000000), IF(I75="May", (SUM(AV141:BC141)/1000000), IF(I75="June", (SUM(AV141:BD141)/1000000),IF(I75="July", (SUM(AV141:BE141)/1000000),IF(I75="August", (SUM(AV141:BF141)/1000000),IF(I75="September", (SUM(AV141:BG141)/1000000),0))))))</f>
        <v>0</v>
      </c>
      <c r="Q142" s="15"/>
      <c r="S142" s="15"/>
    </row>
    <row r="143" spans="1:59" ht="15.75" customHeight="1" x14ac:dyDescent="0.2">
      <c r="B143" s="36">
        <f>ROUND(((B139*B140)/1000000),0)</f>
        <v>0</v>
      </c>
      <c r="C143" s="31"/>
      <c r="D143" s="36">
        <f>ROUND(((D139*D140)/1000000),0)</f>
        <v>0</v>
      </c>
      <c r="E143" s="31"/>
      <c r="F143" s="31"/>
      <c r="G143" s="19"/>
      <c r="H143" s="33" t="s">
        <v>26</v>
      </c>
      <c r="I143" s="36">
        <f>I141+I142</f>
        <v>0</v>
      </c>
      <c r="J143" s="19"/>
      <c r="K143" s="36">
        <f>K141+K142</f>
        <v>0</v>
      </c>
      <c r="L143" s="19"/>
      <c r="M143" s="19"/>
      <c r="N143" s="19"/>
      <c r="O143" s="19"/>
      <c r="P143" s="19"/>
      <c r="Q143" s="35">
        <f>ROUND(IF(SUM(AJ141:AU141)=0,"0",(SUM(AJ141:AU141))/1000000),0)</f>
        <v>0</v>
      </c>
      <c r="R143" s="19"/>
      <c r="S143" s="35">
        <f>ROUND(IF(SUM(AV141:BG141)=0,"0",(SUM(AV141:BG141))/1000000),0)</f>
        <v>0</v>
      </c>
    </row>
    <row r="144" spans="1:59" ht="15.75" customHeight="1" x14ac:dyDescent="0.2">
      <c r="B144" s="38"/>
      <c r="C144" s="12"/>
      <c r="D144" s="38"/>
      <c r="E144" s="12"/>
      <c r="F144" s="12"/>
      <c r="H144" s="13"/>
      <c r="I144" s="38"/>
      <c r="K144" s="38"/>
      <c r="Q144" s="38"/>
      <c r="S144" s="38"/>
    </row>
    <row r="145" spans="1:59" ht="15.75" customHeight="1" x14ac:dyDescent="0.2">
      <c r="B145" s="38"/>
      <c r="C145" s="12"/>
      <c r="D145" s="38"/>
      <c r="E145" s="12"/>
      <c r="F145" s="12"/>
      <c r="H145" s="13"/>
      <c r="I145" s="38"/>
      <c r="K145" s="38"/>
      <c r="Q145" s="38"/>
      <c r="S145" s="38"/>
    </row>
    <row r="146" spans="1:59" ht="15.75" customHeight="1" x14ac:dyDescent="0.2">
      <c r="B146" s="16"/>
      <c r="C146" s="12"/>
      <c r="D146" s="16"/>
      <c r="E146" s="12"/>
      <c r="F146" s="12"/>
      <c r="H146" s="13"/>
      <c r="I146" s="16"/>
      <c r="K146" s="16"/>
      <c r="Q146" s="16"/>
      <c r="S146" s="16"/>
    </row>
    <row r="147" spans="1:59" ht="15.75" customHeight="1" x14ac:dyDescent="0.2">
      <c r="A147" s="15" t="s">
        <v>127</v>
      </c>
      <c r="B147" s="34">
        <v>41000</v>
      </c>
      <c r="C147" s="31"/>
      <c r="D147" s="35">
        <v>143219</v>
      </c>
      <c r="E147" s="31"/>
      <c r="F147" s="31"/>
      <c r="G147" s="19"/>
      <c r="H147" s="33" t="s">
        <v>27</v>
      </c>
      <c r="I147" s="35">
        <v>569067</v>
      </c>
      <c r="J147" s="19"/>
      <c r="K147" s="35">
        <v>644492</v>
      </c>
      <c r="L147" s="19"/>
      <c r="M147" s="19"/>
      <c r="N147" s="19"/>
      <c r="O147" s="19"/>
      <c r="P147" s="19"/>
      <c r="Q147" s="35">
        <v>569067</v>
      </c>
      <c r="R147" s="19"/>
      <c r="S147" s="35">
        <v>644492</v>
      </c>
      <c r="AJ147" s="1">
        <v>41000</v>
      </c>
      <c r="AK147" s="1">
        <v>41363</v>
      </c>
      <c r="AL147" s="1">
        <v>7119</v>
      </c>
      <c r="AM147" s="1">
        <v>14770</v>
      </c>
      <c r="AN147" s="1">
        <v>55600</v>
      </c>
      <c r="AO147" s="1">
        <v>35244</v>
      </c>
      <c r="AP147" s="1">
        <v>77129</v>
      </c>
      <c r="AQ147" s="1">
        <v>142489</v>
      </c>
      <c r="AR147" s="1">
        <v>90753</v>
      </c>
      <c r="AS147" s="1">
        <v>41373</v>
      </c>
      <c r="AT147" s="1">
        <v>8488</v>
      </c>
      <c r="AU147" s="1">
        <v>13739</v>
      </c>
      <c r="AV147" s="1">
        <v>143219</v>
      </c>
      <c r="AW147" s="1">
        <v>225484</v>
      </c>
      <c r="AX147" s="1">
        <v>20875</v>
      </c>
      <c r="AY147" s="1">
        <v>21590</v>
      </c>
      <c r="AZ147" s="1">
        <v>44576</v>
      </c>
      <c r="BA147" s="1">
        <v>29561</v>
      </c>
      <c r="BB147" s="1">
        <v>27131</v>
      </c>
      <c r="BC147" s="1">
        <v>27708</v>
      </c>
      <c r="BD147" s="1">
        <v>19284</v>
      </c>
      <c r="BE147" s="1">
        <v>24778</v>
      </c>
      <c r="BF147" s="1">
        <v>19347</v>
      </c>
      <c r="BG147" s="1">
        <v>40939</v>
      </c>
    </row>
    <row r="148" spans="1:59" ht="15.75" customHeight="1" x14ac:dyDescent="0.2">
      <c r="B148" s="16"/>
      <c r="C148" s="12"/>
      <c r="D148" s="16"/>
      <c r="E148" s="12"/>
      <c r="F148" s="12"/>
      <c r="H148" s="13"/>
      <c r="I148" s="16"/>
      <c r="K148" s="16"/>
      <c r="Q148" s="16"/>
      <c r="S148" s="16"/>
    </row>
    <row r="149" spans="1:59" ht="15.75" customHeight="1" x14ac:dyDescent="0.2">
      <c r="A149" s="16" t="s">
        <v>128</v>
      </c>
      <c r="B149" s="1">
        <v>165003.99</v>
      </c>
      <c r="C149" s="12"/>
      <c r="D149" s="16">
        <v>127473.14</v>
      </c>
      <c r="E149" s="12"/>
      <c r="F149" s="12"/>
      <c r="H149" s="13" t="s">
        <v>28</v>
      </c>
      <c r="I149" s="16">
        <v>1385706.87</v>
      </c>
      <c r="K149" s="16">
        <v>1340308.6099999999</v>
      </c>
      <c r="Q149" s="16">
        <v>1385706.87</v>
      </c>
      <c r="S149" s="16">
        <v>1340308.6099999999</v>
      </c>
      <c r="AJ149" s="1">
        <v>165003.99</v>
      </c>
      <c r="AK149" s="1">
        <v>183010.2</v>
      </c>
      <c r="AL149" s="1">
        <v>184308.19</v>
      </c>
      <c r="AM149" s="1">
        <v>172068.73</v>
      </c>
      <c r="AN149" s="1">
        <v>64852.61</v>
      </c>
      <c r="AO149" s="1">
        <v>31453.25</v>
      </c>
      <c r="AP149" s="1">
        <v>77902.63</v>
      </c>
      <c r="AQ149" s="1">
        <v>125532.53</v>
      </c>
      <c r="AR149" s="1">
        <v>130790.01000000001</v>
      </c>
      <c r="AS149" s="1">
        <v>68671.72</v>
      </c>
      <c r="AT149" s="1">
        <v>87320.180000000008</v>
      </c>
      <c r="AU149" s="1">
        <v>94792.83</v>
      </c>
      <c r="AV149" s="1">
        <v>127473.14</v>
      </c>
      <c r="AW149" s="1">
        <v>132954.15</v>
      </c>
      <c r="AX149" s="1">
        <v>163115.68</v>
      </c>
      <c r="AY149" s="1">
        <v>115197.21</v>
      </c>
      <c r="AZ149" s="1">
        <v>141071.56</v>
      </c>
      <c r="BA149" s="1">
        <v>127995.79000000001</v>
      </c>
      <c r="BB149" s="1">
        <v>112911.72</v>
      </c>
      <c r="BC149" s="1">
        <v>131254.41</v>
      </c>
      <c r="BD149" s="1">
        <v>55489.23</v>
      </c>
      <c r="BE149" s="1">
        <v>112298.08</v>
      </c>
      <c r="BF149" s="1">
        <v>65035.03</v>
      </c>
      <c r="BG149" s="1">
        <v>55512.61</v>
      </c>
    </row>
    <row r="150" spans="1:59" ht="15.75" customHeight="1" x14ac:dyDescent="0.2">
      <c r="A150" s="15" t="s">
        <v>129</v>
      </c>
      <c r="B150" s="1">
        <v>8841.6200000000008</v>
      </c>
      <c r="C150" s="12"/>
      <c r="D150" s="16">
        <v>8863.2100000000009</v>
      </c>
      <c r="E150" s="12"/>
      <c r="F150" s="12"/>
      <c r="H150" s="13" t="s">
        <v>29</v>
      </c>
      <c r="I150" s="16">
        <v>106579.23</v>
      </c>
      <c r="K150" s="16">
        <v>106569.5</v>
      </c>
      <c r="Q150" s="16">
        <v>106579.23</v>
      </c>
      <c r="S150" s="16">
        <v>106569.5</v>
      </c>
      <c r="AJ150" s="1">
        <v>8841.6200000000008</v>
      </c>
      <c r="AK150" s="1">
        <v>8942.8700000000008</v>
      </c>
      <c r="AL150" s="1">
        <v>8830.06</v>
      </c>
      <c r="AM150" s="1">
        <v>8830.6200000000008</v>
      </c>
      <c r="AN150" s="1">
        <v>8876.26</v>
      </c>
      <c r="AO150" s="1">
        <v>8952.4</v>
      </c>
      <c r="AP150" s="1">
        <v>8971.94</v>
      </c>
      <c r="AQ150" s="1">
        <v>8923.880000000001</v>
      </c>
      <c r="AR150" s="1">
        <v>8965.02</v>
      </c>
      <c r="AS150" s="1">
        <v>8769.19</v>
      </c>
      <c r="AT150" s="1">
        <v>8810.1</v>
      </c>
      <c r="AU150" s="1">
        <v>8865.27</v>
      </c>
      <c r="AV150" s="1">
        <v>8863.2100000000009</v>
      </c>
      <c r="AW150" s="1">
        <v>8854.7900000000009</v>
      </c>
      <c r="AX150" s="1">
        <v>8873.5500000000011</v>
      </c>
      <c r="AY150" s="1">
        <v>8967.69</v>
      </c>
      <c r="AZ150" s="1">
        <v>8863.5400000000009</v>
      </c>
      <c r="BA150" s="1">
        <v>8858.85</v>
      </c>
      <c r="BB150" s="1">
        <v>8810.9600000000009</v>
      </c>
      <c r="BC150" s="1">
        <v>8762.380000000001</v>
      </c>
      <c r="BD150" s="1">
        <v>8687.42</v>
      </c>
      <c r="BE150" s="1">
        <v>8911.83</v>
      </c>
      <c r="BF150" s="1">
        <v>9095.8000000000011</v>
      </c>
      <c r="BG150" s="1">
        <v>9019.48</v>
      </c>
    </row>
    <row r="151" spans="1:59" ht="15.75" customHeight="1" x14ac:dyDescent="0.2">
      <c r="A151" s="16"/>
      <c r="C151" s="12"/>
      <c r="D151" s="16"/>
      <c r="E151" s="12"/>
      <c r="F151" s="12"/>
      <c r="H151" s="37" t="s">
        <v>71</v>
      </c>
      <c r="I151" s="11">
        <f>IF(I75="October", (AJ151/1000000), IF(I75="November", (SUM(AJ151:AK151)/1000000), IF(I75="December", (SUM(AJ151:AL151)/1000000), IF(I75="January", (SUM(AJ151:AM151)/1000000), IF(I75="February", (SUM(AJ151:AN151)/1000000), IF(I75="March", (SUM(AJ151:AO151)/1000000), 0))))))</f>
        <v>0</v>
      </c>
      <c r="J151" s="11"/>
      <c r="K151" s="11">
        <f>IF(I75="October", (AV151/1000000), IF(I75="November", (SUM(AV151:AW151)/1000000), IF(I75="December", (SUM(AV151:AX151)/1000000), IF(I75="January", (SUM(AV151:AY151)/1000000), IF(I75="February", (SUM(AV151:AZ151)/1000000), IF(I75="March", (SUM(AV151:BA151)/1000000), 0))))))</f>
        <v>0</v>
      </c>
      <c r="L151" s="11"/>
      <c r="M151" s="11"/>
      <c r="N151" s="11"/>
      <c r="O151" s="11"/>
      <c r="P151" s="11"/>
      <c r="Q151" s="16"/>
      <c r="R151" s="11"/>
      <c r="S151" s="16"/>
      <c r="AJ151" s="1">
        <f>AJ149*AJ150*2000</f>
        <v>2917805156127.6001</v>
      </c>
      <c r="AK151" s="1">
        <f t="shared" ref="AK151:BG151" si="9">AK149*AK150*2000</f>
        <v>3273272854548.0005</v>
      </c>
      <c r="AL151" s="1">
        <f t="shared" si="9"/>
        <v>3254904752382.7998</v>
      </c>
      <c r="AM151" s="1">
        <f t="shared" si="9"/>
        <v>3038947137025.2002</v>
      </c>
      <c r="AN151" s="1">
        <f t="shared" si="9"/>
        <v>1151297256077.2</v>
      </c>
      <c r="AO151" s="1">
        <f t="shared" si="9"/>
        <v>563164150600</v>
      </c>
      <c r="AP151" s="1">
        <f t="shared" si="9"/>
        <v>1397875444404.4001</v>
      </c>
      <c r="AQ151" s="1">
        <f t="shared" si="9"/>
        <v>2240474467632.8003</v>
      </c>
      <c r="AR151" s="1">
        <f t="shared" si="9"/>
        <v>2345070110900.4004</v>
      </c>
      <c r="AS151" s="1">
        <f t="shared" si="9"/>
        <v>1204390720613.6001</v>
      </c>
      <c r="AT151" s="1">
        <f t="shared" si="9"/>
        <v>1538599035636.0002</v>
      </c>
      <c r="AU151" s="1">
        <f t="shared" si="9"/>
        <v>1680728064028.2002</v>
      </c>
      <c r="AV151" s="1">
        <f t="shared" si="9"/>
        <v>2259642418358.8003</v>
      </c>
      <c r="AW151" s="1">
        <f t="shared" si="9"/>
        <v>2354562155757</v>
      </c>
      <c r="AX151" s="1">
        <f t="shared" si="9"/>
        <v>2894830284528.0005</v>
      </c>
      <c r="AY151" s="1">
        <f t="shared" si="9"/>
        <v>2066105736289.8</v>
      </c>
      <c r="AZ151" s="1">
        <f t="shared" si="9"/>
        <v>2500786829844.7998</v>
      </c>
      <c r="BA151" s="1">
        <f t="shared" si="9"/>
        <v>2267791008483.0005</v>
      </c>
      <c r="BB151" s="1">
        <f t="shared" si="9"/>
        <v>1989721296902.4001</v>
      </c>
      <c r="BC151" s="1">
        <f t="shared" si="9"/>
        <v>2300202034191.6001</v>
      </c>
      <c r="BD151" s="1">
        <f t="shared" si="9"/>
        <v>964116492973.20007</v>
      </c>
      <c r="BE151" s="1">
        <f t="shared" si="9"/>
        <v>2001562796572.7998</v>
      </c>
      <c r="BF151" s="1">
        <f t="shared" si="9"/>
        <v>1183091251748.0002</v>
      </c>
      <c r="BG151" s="1">
        <f t="shared" si="9"/>
        <v>1001389751285.6</v>
      </c>
    </row>
    <row r="152" spans="1:59" ht="15.75" customHeight="1" x14ac:dyDescent="0.2">
      <c r="A152" s="16"/>
      <c r="C152" s="12"/>
      <c r="D152" s="16"/>
      <c r="E152" s="12"/>
      <c r="F152" s="12"/>
      <c r="H152" s="37" t="s">
        <v>72</v>
      </c>
      <c r="I152" s="11">
        <f>IF(I75="April", (SUM(AJ151:AP151)/1000000), IF(I75="May", (SUM(AJ151:AQ151)/1000000), IF(I75="June", (SUM(AJ151:AR151)/1000000),IF(I75="July", (SUM(AJ151:AS151)/1000000),IF(I75="August", (SUM(AJ151:AT151)/1000000),IF(I75="September", (SUM(AJ151:AU151)/1000000),0))))))</f>
        <v>24606529.149976198</v>
      </c>
      <c r="J152" s="11"/>
      <c r="K152" s="11">
        <f>IF(I75="April", (SUM(AV151:BB151)/1000000), IF(I75="May", (SUM(AV151:BC151)/1000000), IF(I75="June", (SUM(AV151:BD151)/1000000),IF(I75="July", (SUM(AV151:BE151)/1000000),IF(I75="August", (SUM(AV151:BF151)/1000000),IF(I75="September", (SUM(AV151:BG151)/1000000),0))))))</f>
        <v>23783802.056935005</v>
      </c>
      <c r="L152" s="11"/>
      <c r="M152" s="11"/>
      <c r="N152" s="11"/>
      <c r="O152" s="11"/>
      <c r="P152" s="11"/>
      <c r="Q152" s="16"/>
      <c r="R152" s="11"/>
      <c r="S152" s="16"/>
    </row>
    <row r="153" spans="1:59" ht="15.75" customHeight="1" x14ac:dyDescent="0.2">
      <c r="B153" s="36">
        <f>ROUND((((+B149*B150)*2)/1000),0)</f>
        <v>2917805</v>
      </c>
      <c r="C153" s="31"/>
      <c r="D153" s="36">
        <f>ROUND((((+D149*D150)*2)/1000),0)</f>
        <v>2259642</v>
      </c>
      <c r="E153" s="31"/>
      <c r="F153" s="31"/>
      <c r="G153" s="19"/>
      <c r="H153" s="33" t="s">
        <v>30</v>
      </c>
      <c r="I153" s="36">
        <f>I151+I152</f>
        <v>24606529.149976198</v>
      </c>
      <c r="J153" s="19"/>
      <c r="K153" s="36">
        <f>K151+K152</f>
        <v>23783802.056935005</v>
      </c>
      <c r="L153" s="19"/>
      <c r="M153" s="19"/>
      <c r="N153" s="19"/>
      <c r="O153" s="19"/>
      <c r="P153" s="19"/>
      <c r="Q153" s="36">
        <f>ROUND(IF(SUM(AJ151:AU151)=0,"0",(SUM(AJ151:AU151))/1000000),0)</f>
        <v>24606529</v>
      </c>
      <c r="R153" s="19"/>
      <c r="S153" s="36">
        <f>ROUND(IF(SUM(AV151:BG151)=0,"0",(SUM(AV151:BG151))/1000000),0)</f>
        <v>23783802</v>
      </c>
    </row>
    <row r="154" spans="1:59" ht="15.75" customHeight="1" x14ac:dyDescent="0.2">
      <c r="B154" s="40"/>
      <c r="C154" s="41"/>
      <c r="D154" s="40"/>
      <c r="E154" s="41"/>
      <c r="F154" s="41"/>
      <c r="G154" s="42"/>
      <c r="H154" s="43"/>
      <c r="I154" s="40"/>
      <c r="J154" s="42"/>
      <c r="K154" s="40"/>
      <c r="L154" s="42"/>
      <c r="M154" s="42"/>
      <c r="N154" s="42"/>
      <c r="O154" s="42"/>
      <c r="P154" s="42"/>
      <c r="Q154" s="40"/>
      <c r="R154" s="42"/>
      <c r="S154" s="40"/>
    </row>
    <row r="155" spans="1:59" ht="15.75" customHeight="1" x14ac:dyDescent="0.2">
      <c r="A155" s="15" t="s">
        <v>130</v>
      </c>
      <c r="B155" s="19">
        <v>119010</v>
      </c>
      <c r="C155" s="31"/>
      <c r="D155" s="15">
        <v>84612</v>
      </c>
      <c r="E155" s="31"/>
      <c r="F155" s="31"/>
      <c r="G155" s="19"/>
      <c r="H155" s="33" t="s">
        <v>31</v>
      </c>
      <c r="I155" s="15">
        <v>1097439</v>
      </c>
      <c r="J155" s="19"/>
      <c r="K155" s="15">
        <v>844900</v>
      </c>
      <c r="L155" s="19"/>
      <c r="M155" s="19"/>
      <c r="N155" s="19"/>
      <c r="O155" s="19"/>
      <c r="P155" s="19"/>
      <c r="Q155" s="15">
        <v>1097439</v>
      </c>
      <c r="R155" s="19"/>
      <c r="S155" s="15">
        <v>844900</v>
      </c>
      <c r="AJ155" s="1">
        <v>119010</v>
      </c>
      <c r="AK155" s="1">
        <v>144454</v>
      </c>
      <c r="AL155" s="1">
        <v>143294</v>
      </c>
      <c r="AM155" s="1">
        <v>102405</v>
      </c>
      <c r="AN155" s="1">
        <v>28075</v>
      </c>
      <c r="AO155" s="1">
        <v>116252</v>
      </c>
      <c r="AP155" s="1">
        <v>26615</v>
      </c>
      <c r="AQ155" s="1">
        <v>31064</v>
      </c>
      <c r="AR155" s="1">
        <v>177296</v>
      </c>
      <c r="AS155" s="1">
        <v>42582</v>
      </c>
      <c r="AT155" s="1">
        <v>100181</v>
      </c>
      <c r="AU155" s="1">
        <v>66211</v>
      </c>
      <c r="AV155" s="1">
        <v>84612</v>
      </c>
      <c r="AW155" s="1">
        <v>145458</v>
      </c>
      <c r="AX155" s="1">
        <v>101743</v>
      </c>
      <c r="AY155" s="1">
        <v>125121</v>
      </c>
      <c r="AZ155" s="1">
        <v>6040</v>
      </c>
      <c r="BA155" s="1">
        <v>68879</v>
      </c>
      <c r="BB155" s="1">
        <v>9714</v>
      </c>
      <c r="BC155" s="1">
        <v>34303</v>
      </c>
      <c r="BD155" s="1">
        <v>9373</v>
      </c>
      <c r="BE155" s="1">
        <v>3</v>
      </c>
      <c r="BF155" s="1">
        <v>24663</v>
      </c>
      <c r="BG155" s="1">
        <v>234991</v>
      </c>
    </row>
    <row r="156" spans="1:59" ht="15.75" customHeight="1" x14ac:dyDescent="0.2">
      <c r="B156" s="16"/>
      <c r="C156" s="12"/>
      <c r="D156" s="16"/>
      <c r="E156" s="12"/>
      <c r="F156" s="12"/>
      <c r="H156" s="13"/>
      <c r="I156" s="16"/>
      <c r="K156" s="16"/>
      <c r="Q156" s="16"/>
      <c r="S156" s="16"/>
    </row>
    <row r="157" spans="1:59" ht="15.75" customHeight="1" x14ac:dyDescent="0.2">
      <c r="B157" s="16"/>
      <c r="C157" s="12"/>
      <c r="D157" s="16"/>
      <c r="E157" s="12"/>
      <c r="F157" s="12"/>
      <c r="H157" s="13"/>
      <c r="I157" s="16"/>
      <c r="K157" s="16"/>
      <c r="Q157" s="16"/>
      <c r="S157" s="16"/>
    </row>
    <row r="158" spans="1:59" ht="15.75" customHeight="1" x14ac:dyDescent="0.2">
      <c r="B158" s="16"/>
      <c r="C158" s="12"/>
      <c r="D158" s="16"/>
      <c r="E158" s="12"/>
      <c r="F158" s="12"/>
      <c r="H158" s="13"/>
      <c r="I158" s="16"/>
      <c r="K158" s="16"/>
      <c r="Q158" s="16"/>
      <c r="S158" s="16"/>
    </row>
    <row r="159" spans="1:59" ht="15.75" customHeight="1" x14ac:dyDescent="0.2">
      <c r="A159" s="16" t="s">
        <v>131</v>
      </c>
      <c r="B159" s="1">
        <v>0</v>
      </c>
      <c r="D159" s="16">
        <v>0</v>
      </c>
      <c r="H159" s="1" t="s">
        <v>32</v>
      </c>
      <c r="I159" s="16">
        <v>0</v>
      </c>
      <c r="K159" s="16">
        <v>0</v>
      </c>
      <c r="Q159" s="16">
        <v>0</v>
      </c>
      <c r="S159" s="16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</row>
    <row r="160" spans="1:59" ht="15.75" customHeight="1" x14ac:dyDescent="0.2">
      <c r="A160" s="15" t="s">
        <v>132</v>
      </c>
      <c r="B160" s="1">
        <v>138200</v>
      </c>
      <c r="D160" s="16">
        <v>138200</v>
      </c>
      <c r="H160" s="1" t="s">
        <v>33</v>
      </c>
      <c r="I160" s="16">
        <v>1658400</v>
      </c>
      <c r="K160" s="16">
        <v>1658400</v>
      </c>
      <c r="Q160" s="16">
        <v>1658400</v>
      </c>
      <c r="S160" s="16">
        <v>1658400</v>
      </c>
      <c r="AJ160" s="1">
        <v>138200</v>
      </c>
      <c r="AK160" s="1">
        <v>138200</v>
      </c>
      <c r="AL160" s="1">
        <v>138200</v>
      </c>
      <c r="AM160" s="1">
        <v>138200</v>
      </c>
      <c r="AN160" s="1">
        <v>138200</v>
      </c>
      <c r="AO160" s="1">
        <v>138200</v>
      </c>
      <c r="AP160" s="1">
        <v>138200</v>
      </c>
      <c r="AQ160" s="1">
        <v>138200</v>
      </c>
      <c r="AR160" s="1">
        <v>138200</v>
      </c>
      <c r="AS160" s="1">
        <v>138200</v>
      </c>
      <c r="AT160" s="1">
        <v>138200</v>
      </c>
      <c r="AU160" s="1">
        <v>138200</v>
      </c>
      <c r="AV160" s="1">
        <v>138200</v>
      </c>
      <c r="AW160" s="1">
        <v>138200</v>
      </c>
      <c r="AX160" s="1">
        <v>138200</v>
      </c>
      <c r="AY160" s="1">
        <v>138200</v>
      </c>
      <c r="AZ160" s="1">
        <v>138200</v>
      </c>
      <c r="BA160" s="1">
        <v>138200</v>
      </c>
      <c r="BB160" s="1">
        <v>138200</v>
      </c>
      <c r="BC160" s="1">
        <v>138200</v>
      </c>
      <c r="BD160" s="1">
        <v>138200</v>
      </c>
      <c r="BE160" s="1">
        <v>138200</v>
      </c>
      <c r="BF160" s="1">
        <v>138200</v>
      </c>
      <c r="BG160" s="1">
        <v>138200</v>
      </c>
    </row>
    <row r="161" spans="1:59" ht="15.75" customHeight="1" x14ac:dyDescent="0.2">
      <c r="A161" s="16"/>
      <c r="D161" s="16"/>
      <c r="H161" s="37" t="s">
        <v>71</v>
      </c>
      <c r="I161" s="11">
        <f>IF(I75="October", (AJ161/1000000), IF(I75="November", (SUM(AJ161:AK161)/1000000), IF(I75="December", (SUM(AJ161:AL161)/1000000), IF(I75="January", (SUM(AJ161:AM161)/1000000), IF(I75="February", (SUM(AJ161:AN161)/1000000), IF(I75="March", (SUM(AJ161:AO161)/1000000), 0))))))</f>
        <v>0</v>
      </c>
      <c r="J161" s="11"/>
      <c r="K161" s="11">
        <f>IF(I75="October", (AV161/1000000), IF(I75="November", (SUM(AV161:AW161)/1000000), IF(I75="December", (SUM(AV161:AX161)/1000000), IF(I75="January", (SUM(AV161:AY161)/1000000), IF(I75="February", (SUM(AV161:AZ161)/1000000), IF(I75="March", (SUM(AV161:BA161)/1000000), 0))))))</f>
        <v>0</v>
      </c>
      <c r="Q161" s="16"/>
      <c r="S161" s="16"/>
      <c r="AJ161" s="1">
        <f t="shared" ref="AJ161:BG161" si="10">AJ159*AJ160</f>
        <v>0</v>
      </c>
      <c r="AK161" s="1">
        <f t="shared" si="10"/>
        <v>0</v>
      </c>
      <c r="AL161" s="1">
        <f t="shared" si="10"/>
        <v>0</v>
      </c>
      <c r="AM161" s="1">
        <f t="shared" si="10"/>
        <v>0</v>
      </c>
      <c r="AN161" s="1">
        <f t="shared" si="10"/>
        <v>0</v>
      </c>
      <c r="AO161" s="1">
        <f t="shared" si="10"/>
        <v>0</v>
      </c>
      <c r="AP161" s="1">
        <f t="shared" si="10"/>
        <v>0</v>
      </c>
      <c r="AQ161" s="1">
        <f t="shared" si="10"/>
        <v>0</v>
      </c>
      <c r="AR161" s="1">
        <f t="shared" si="10"/>
        <v>0</v>
      </c>
      <c r="AS161" s="1">
        <f t="shared" si="10"/>
        <v>0</v>
      </c>
      <c r="AT161" s="1">
        <f t="shared" si="10"/>
        <v>0</v>
      </c>
      <c r="AU161" s="1">
        <f t="shared" si="10"/>
        <v>0</v>
      </c>
      <c r="AV161" s="1">
        <f t="shared" si="10"/>
        <v>0</v>
      </c>
      <c r="AW161" s="1">
        <f t="shared" si="10"/>
        <v>0</v>
      </c>
      <c r="AX161" s="1">
        <f t="shared" si="10"/>
        <v>0</v>
      </c>
      <c r="AY161" s="1">
        <f t="shared" si="10"/>
        <v>0</v>
      </c>
      <c r="AZ161" s="1">
        <f t="shared" si="10"/>
        <v>0</v>
      </c>
      <c r="BA161" s="1">
        <f t="shared" si="10"/>
        <v>0</v>
      </c>
      <c r="BB161" s="1">
        <f t="shared" si="10"/>
        <v>0</v>
      </c>
      <c r="BC161" s="1">
        <f t="shared" si="10"/>
        <v>0</v>
      </c>
      <c r="BD161" s="1">
        <f t="shared" si="10"/>
        <v>0</v>
      </c>
      <c r="BE161" s="1">
        <f t="shared" si="10"/>
        <v>0</v>
      </c>
      <c r="BF161" s="1">
        <f t="shared" si="10"/>
        <v>0</v>
      </c>
      <c r="BG161" s="1">
        <f t="shared" si="10"/>
        <v>0</v>
      </c>
    </row>
    <row r="162" spans="1:59" ht="15.75" customHeight="1" x14ac:dyDescent="0.2">
      <c r="A162" s="16"/>
      <c r="D162" s="16"/>
      <c r="H162" s="37" t="s">
        <v>72</v>
      </c>
      <c r="I162" s="11">
        <f>IF(I75="April", (SUM(AJ161:AP161)/1000000), IF(I75="May", (SUM(AJ161:AQ161)/1000000), IF(I75="June", (SUM(AJ161:AR161)/1000000),IF(I75="July", (SUM(AJ161:AS161)/1000000),IF(I75="August", (SUM(AJ161:AT161)/1000000),IF(I75="September", (SUM(AJ161:AU161)/1000000),0))))))</f>
        <v>0</v>
      </c>
      <c r="J162" s="11"/>
      <c r="K162" s="11">
        <f>IF(I75="April", (SUM(AV161:BB161)/1000000), IF(I75="May", (SUM(AV161:BC161)/1000000), IF(I75="June", (SUM(AV161:BD161)/1000000),IF(I75="July", (SUM(AV161:BE161)/1000000),IF(I75="August", (SUM(AV161:BF161)/1000000),IF(I75="September", (SUM(AV161:BG161)/1000000),0))))))</f>
        <v>0</v>
      </c>
      <c r="Q162" s="15"/>
      <c r="S162" s="15"/>
    </row>
    <row r="163" spans="1:59" ht="15.75" customHeight="1" x14ac:dyDescent="0.2">
      <c r="B163" s="17">
        <f>ROUND(((B159*B160)/1000000),0)</f>
        <v>0</v>
      </c>
      <c r="C163" s="19"/>
      <c r="D163" s="17">
        <f>ROUND(((D159*D160)/1000000),0)</f>
        <v>0</v>
      </c>
      <c r="E163" s="19"/>
      <c r="F163" s="19"/>
      <c r="G163" s="19"/>
      <c r="H163" s="33" t="s">
        <v>34</v>
      </c>
      <c r="I163" s="36">
        <f>I161+I162</f>
        <v>0</v>
      </c>
      <c r="J163" s="19"/>
      <c r="K163" s="36">
        <f>K161+K162</f>
        <v>0</v>
      </c>
      <c r="L163" s="19"/>
      <c r="M163" s="19"/>
      <c r="N163" s="19"/>
      <c r="O163" s="19"/>
      <c r="P163" s="19"/>
      <c r="Q163" s="35">
        <f>ROUND(IF(SUM(AJ161:AU161)=0,"0",(SUM(AJ161:AU161))/1000000),0)</f>
        <v>0</v>
      </c>
      <c r="R163" s="19"/>
      <c r="S163" s="35">
        <f>ROUND(IF(SUM(AV161:BG161)=0,"0",(SUM(AV161:BG161))/1000000),0)</f>
        <v>0</v>
      </c>
    </row>
    <row r="164" spans="1:59" ht="15.75" customHeight="1" x14ac:dyDescent="0.2">
      <c r="B164" s="18"/>
      <c r="D164" s="18"/>
      <c r="I164" s="18"/>
      <c r="K164" s="18"/>
      <c r="Q164" s="18"/>
      <c r="S164" s="18"/>
    </row>
    <row r="165" spans="1:59" ht="15.75" customHeight="1" x14ac:dyDescent="0.2">
      <c r="A165" s="15" t="s">
        <v>133</v>
      </c>
      <c r="B165" s="19">
        <v>167392</v>
      </c>
      <c r="C165" s="19"/>
      <c r="D165" s="15">
        <v>117993</v>
      </c>
      <c r="E165" s="19"/>
      <c r="F165" s="19"/>
      <c r="G165" s="19"/>
      <c r="H165" s="19" t="s">
        <v>35</v>
      </c>
      <c r="I165" s="15">
        <v>1746534</v>
      </c>
      <c r="J165" s="19"/>
      <c r="K165" s="15">
        <v>1700283</v>
      </c>
      <c r="L165" s="19"/>
      <c r="M165" s="19"/>
      <c r="N165" s="19"/>
      <c r="O165" s="19"/>
      <c r="P165" s="19"/>
      <c r="Q165" s="15">
        <v>1746534</v>
      </c>
      <c r="R165" s="19"/>
      <c r="S165" s="15">
        <v>1700283</v>
      </c>
      <c r="AJ165" s="1">
        <v>167392</v>
      </c>
      <c r="AK165" s="1">
        <v>342355</v>
      </c>
      <c r="AL165" s="1">
        <v>400246</v>
      </c>
      <c r="AM165" s="1">
        <v>265330</v>
      </c>
      <c r="AN165" s="1">
        <v>61699</v>
      </c>
      <c r="AO165" s="1">
        <v>121210</v>
      </c>
      <c r="AP165" s="1">
        <v>24668</v>
      </c>
      <c r="AQ165" s="1">
        <v>22599</v>
      </c>
      <c r="AR165" s="1">
        <v>150931</v>
      </c>
      <c r="AS165" s="1">
        <v>83841</v>
      </c>
      <c r="AT165" s="1">
        <v>60249</v>
      </c>
      <c r="AU165" s="1">
        <v>46014</v>
      </c>
      <c r="AV165" s="1">
        <v>117993</v>
      </c>
      <c r="AW165" s="1">
        <v>243695</v>
      </c>
      <c r="AX165" s="1">
        <v>150535</v>
      </c>
      <c r="AY165" s="1">
        <v>223183</v>
      </c>
      <c r="AZ165" s="1">
        <v>41026</v>
      </c>
      <c r="BA165" s="1">
        <v>53604</v>
      </c>
      <c r="BB165" s="1">
        <v>15518</v>
      </c>
      <c r="BC165" s="1">
        <v>36409</v>
      </c>
      <c r="BD165" s="1">
        <v>60131</v>
      </c>
      <c r="BE165" s="1">
        <v>92773</v>
      </c>
      <c r="BF165" s="1">
        <v>127378</v>
      </c>
      <c r="BG165" s="1">
        <v>538038</v>
      </c>
    </row>
    <row r="166" spans="1:59" ht="15.75" customHeight="1" x14ac:dyDescent="0.2">
      <c r="B166" s="18"/>
      <c r="D166" s="18"/>
      <c r="I166" s="18"/>
      <c r="K166" s="18"/>
      <c r="Q166" s="18"/>
      <c r="S166" s="18"/>
    </row>
    <row r="167" spans="1:59" ht="15.75" customHeight="1" x14ac:dyDescent="0.2">
      <c r="B167" s="18"/>
      <c r="D167" s="18"/>
      <c r="I167" s="18"/>
      <c r="K167" s="18"/>
      <c r="Q167" s="18"/>
      <c r="S167" s="18"/>
    </row>
    <row r="168" spans="1:59" ht="15.75" customHeight="1" x14ac:dyDescent="0.2">
      <c r="B168" s="18"/>
      <c r="D168" s="18"/>
      <c r="I168" s="18"/>
      <c r="K168" s="18"/>
      <c r="Q168" s="18"/>
      <c r="S168" s="18"/>
    </row>
    <row r="169" spans="1:59" ht="15.75" customHeight="1" x14ac:dyDescent="0.2">
      <c r="A169" s="16" t="s">
        <v>134</v>
      </c>
      <c r="B169" s="1">
        <v>0</v>
      </c>
      <c r="D169" s="16">
        <v>0</v>
      </c>
      <c r="H169" s="1" t="s">
        <v>36</v>
      </c>
      <c r="I169" s="16">
        <v>409961</v>
      </c>
      <c r="K169" s="16">
        <v>2021468</v>
      </c>
      <c r="Q169" s="16">
        <v>409961</v>
      </c>
      <c r="S169" s="16">
        <v>2021468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409508</v>
      </c>
      <c r="AS169" s="1">
        <v>453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1985975</v>
      </c>
      <c r="BD169" s="1">
        <v>0</v>
      </c>
      <c r="BE169" s="1">
        <v>0</v>
      </c>
      <c r="BF169" s="1">
        <v>27305</v>
      </c>
      <c r="BG169" s="1">
        <v>8188</v>
      </c>
    </row>
    <row r="170" spans="1:59" ht="15.75" customHeight="1" x14ac:dyDescent="0.2">
      <c r="A170" s="15" t="s">
        <v>135</v>
      </c>
      <c r="B170" s="1">
        <v>138200</v>
      </c>
      <c r="D170" s="16">
        <v>138200</v>
      </c>
      <c r="H170" s="1" t="s">
        <v>37</v>
      </c>
      <c r="I170" s="16">
        <v>1658400</v>
      </c>
      <c r="K170" s="16">
        <v>1658400</v>
      </c>
      <c r="Q170" s="16">
        <v>1658400</v>
      </c>
      <c r="S170" s="16">
        <v>1658400</v>
      </c>
      <c r="AJ170" s="1">
        <v>138200</v>
      </c>
      <c r="AK170" s="1">
        <v>138200</v>
      </c>
      <c r="AL170" s="1">
        <v>138200</v>
      </c>
      <c r="AM170" s="1">
        <v>138200</v>
      </c>
      <c r="AN170" s="1">
        <v>138200</v>
      </c>
      <c r="AO170" s="1">
        <v>138200</v>
      </c>
      <c r="AP170" s="1">
        <v>138200</v>
      </c>
      <c r="AQ170" s="1">
        <v>138200</v>
      </c>
      <c r="AR170" s="1">
        <v>138200</v>
      </c>
      <c r="AS170" s="1">
        <v>138200</v>
      </c>
      <c r="AT170" s="1">
        <v>138200</v>
      </c>
      <c r="AU170" s="1">
        <v>138200</v>
      </c>
      <c r="AV170" s="1">
        <v>138200</v>
      </c>
      <c r="AW170" s="1">
        <v>138200</v>
      </c>
      <c r="AX170" s="1">
        <v>138200</v>
      </c>
      <c r="AY170" s="1">
        <v>138200</v>
      </c>
      <c r="AZ170" s="1">
        <v>138200</v>
      </c>
      <c r="BA170" s="1">
        <v>138200</v>
      </c>
      <c r="BB170" s="1">
        <v>138200</v>
      </c>
      <c r="BC170" s="1">
        <v>138200</v>
      </c>
      <c r="BD170" s="1">
        <v>138200</v>
      </c>
      <c r="BE170" s="1">
        <v>138200</v>
      </c>
      <c r="BF170" s="1">
        <v>138200</v>
      </c>
      <c r="BG170" s="1">
        <v>138200</v>
      </c>
    </row>
    <row r="171" spans="1:59" ht="15.75" customHeight="1" x14ac:dyDescent="0.2">
      <c r="A171" s="16"/>
      <c r="D171" s="16"/>
      <c r="H171" s="37" t="s">
        <v>71</v>
      </c>
      <c r="I171" s="11">
        <f>IF(I75="October", (AJ171/1000000), IF(I75="November", (SUM(AJ171:AK171)/1000000), IF(I75="December", (SUM(AJ171:AL171)/1000000), IF(I75="January", (SUM(AJ171:AM171)/1000000), IF(I75="February", (SUM(AJ171:AN171)/1000000), IF(I75="March", (SUM(AJ171:AO171)/1000000), 0))))))</f>
        <v>0</v>
      </c>
      <c r="J171" s="11"/>
      <c r="K171" s="11">
        <f>IF(I75="October", (AV171/1000000), IF(I75="November", (SUM(AV171:AW171)/1000000), IF(I75="December", (SUM(AV171:AX171)/1000000), IF(I75="January", (SUM(AV171:AY171)/1000000), IF(I75="February", (SUM(AV171:AZ171)/1000000), IF(I75="March", (SUM(AV171:BA171)/1000000), 0))))))</f>
        <v>0</v>
      </c>
      <c r="Q171" s="16"/>
      <c r="S171" s="16"/>
      <c r="AJ171" s="1">
        <f t="shared" ref="AJ171:BG171" si="11">AJ169*AJ170</f>
        <v>0</v>
      </c>
      <c r="AK171" s="1">
        <f t="shared" si="11"/>
        <v>0</v>
      </c>
      <c r="AL171" s="1">
        <f t="shared" si="11"/>
        <v>0</v>
      </c>
      <c r="AM171" s="1">
        <f t="shared" si="11"/>
        <v>0</v>
      </c>
      <c r="AN171" s="1">
        <f t="shared" si="11"/>
        <v>0</v>
      </c>
      <c r="AO171" s="1">
        <f t="shared" si="11"/>
        <v>0</v>
      </c>
      <c r="AP171" s="1">
        <f t="shared" si="11"/>
        <v>0</v>
      </c>
      <c r="AQ171" s="1">
        <f t="shared" si="11"/>
        <v>0</v>
      </c>
      <c r="AR171" s="1">
        <f t="shared" si="11"/>
        <v>56594005600</v>
      </c>
      <c r="AS171" s="1">
        <f t="shared" si="11"/>
        <v>62604600</v>
      </c>
      <c r="AT171" s="1">
        <f t="shared" si="11"/>
        <v>0</v>
      </c>
      <c r="AU171" s="1">
        <f t="shared" si="11"/>
        <v>0</v>
      </c>
      <c r="AV171" s="1">
        <f t="shared" si="11"/>
        <v>0</v>
      </c>
      <c r="AW171" s="1">
        <f t="shared" si="11"/>
        <v>0</v>
      </c>
      <c r="AX171" s="1">
        <f t="shared" si="11"/>
        <v>0</v>
      </c>
      <c r="AY171" s="1">
        <f t="shared" si="11"/>
        <v>0</v>
      </c>
      <c r="AZ171" s="1">
        <f t="shared" si="11"/>
        <v>0</v>
      </c>
      <c r="BA171" s="1">
        <f t="shared" si="11"/>
        <v>0</v>
      </c>
      <c r="BB171" s="1">
        <f t="shared" si="11"/>
        <v>0</v>
      </c>
      <c r="BC171" s="1">
        <f t="shared" si="11"/>
        <v>274461745000</v>
      </c>
      <c r="BD171" s="1">
        <f t="shared" si="11"/>
        <v>0</v>
      </c>
      <c r="BE171" s="1">
        <f t="shared" si="11"/>
        <v>0</v>
      </c>
      <c r="BF171" s="1">
        <f t="shared" si="11"/>
        <v>3773551000</v>
      </c>
      <c r="BG171" s="1">
        <f t="shared" si="11"/>
        <v>1131581600</v>
      </c>
    </row>
    <row r="172" spans="1:59" ht="15.75" customHeight="1" x14ac:dyDescent="0.2">
      <c r="A172" s="16"/>
      <c r="D172" s="16"/>
      <c r="H172" s="37" t="s">
        <v>72</v>
      </c>
      <c r="I172" s="11">
        <f>IF(I75="April", (SUM(AJ171:AP171)/1000000), IF(I75="May", (SUM(AJ171:AQ171)/1000000), IF(I75="June", (SUM(AJ171:AR171)/1000000),IF(I75="July", (SUM(AJ171:AS171)/1000000),IF(I75="August", (SUM(AJ171:AT171)/1000000),IF(I75="September", (SUM(AJ171:AU171)/1000000),0))))))</f>
        <v>56656.610200000003</v>
      </c>
      <c r="J172" s="11"/>
      <c r="K172" s="11">
        <f>IF(I75="April", (SUM(AV171:BB171)/1000000), IF(I75="May", (SUM(AV171:BC171)/1000000), IF(I75="June", (SUM(AV171:BD171)/1000000),IF(I75="July", (SUM(AV171:BE171)/1000000),IF(I75="August", (SUM(AV171:BF171)/1000000),IF(I75="September", (SUM(AV171:BG171)/1000000),0))))))</f>
        <v>279366.87760000001</v>
      </c>
      <c r="Q172" s="15"/>
      <c r="S172" s="15"/>
    </row>
    <row r="173" spans="1:59" ht="15.75" customHeight="1" x14ac:dyDescent="0.2">
      <c r="B173" s="17">
        <f>ROUND(((B169*B170)/1000000),0)</f>
        <v>0</v>
      </c>
      <c r="C173" s="19"/>
      <c r="D173" s="17">
        <f>ROUND(((D169*D170)/1000000),0)</f>
        <v>0</v>
      </c>
      <c r="E173" s="19"/>
      <c r="F173" s="19"/>
      <c r="G173" s="19"/>
      <c r="H173" s="33" t="s">
        <v>74</v>
      </c>
      <c r="I173" s="36">
        <f>I171+I172</f>
        <v>56656.610200000003</v>
      </c>
      <c r="J173" s="19"/>
      <c r="K173" s="36">
        <f>K171+K172</f>
        <v>279366.87760000001</v>
      </c>
      <c r="L173" s="19"/>
      <c r="M173" s="19"/>
      <c r="N173" s="19"/>
      <c r="O173" s="19"/>
      <c r="P173" s="19"/>
      <c r="Q173" s="35">
        <f>ROUND(IF(SUM(AJ171:AU171)=0,"0",(SUM(AJ171:AU171))/1000000),0)</f>
        <v>56657</v>
      </c>
      <c r="R173" s="19"/>
      <c r="S173" s="35">
        <f>ROUND(IF(SUM(AV171:BG171)=0,"0",(SUM(AV171:BG171))/1000000),0)</f>
        <v>279367</v>
      </c>
    </row>
    <row r="174" spans="1:59" ht="15.75" customHeight="1" x14ac:dyDescent="0.2">
      <c r="B174" s="18"/>
      <c r="D174" s="18"/>
      <c r="I174" s="18"/>
      <c r="K174" s="18"/>
      <c r="Q174" s="18"/>
      <c r="S174" s="18"/>
    </row>
    <row r="175" spans="1:59" ht="15.75" customHeight="1" x14ac:dyDescent="0.2">
      <c r="B175" s="18"/>
      <c r="D175" s="18"/>
      <c r="I175" s="18"/>
      <c r="K175" s="18"/>
      <c r="Q175" s="18"/>
      <c r="S175" s="18"/>
    </row>
    <row r="176" spans="1:59" ht="15.75" customHeight="1" x14ac:dyDescent="0.2">
      <c r="B176" s="18"/>
      <c r="D176" s="18"/>
      <c r="I176" s="18"/>
      <c r="K176" s="18"/>
      <c r="Q176" s="18"/>
      <c r="S176" s="18"/>
    </row>
    <row r="177" spans="1:59" ht="15.75" customHeight="1" x14ac:dyDescent="0.2">
      <c r="A177" s="15" t="s">
        <v>136</v>
      </c>
      <c r="B177" s="19">
        <v>123923</v>
      </c>
      <c r="C177" s="19"/>
      <c r="D177" s="15">
        <v>57918</v>
      </c>
      <c r="E177" s="19"/>
      <c r="F177" s="19"/>
      <c r="G177" s="19"/>
      <c r="H177" s="19" t="s">
        <v>38</v>
      </c>
      <c r="I177" s="15">
        <v>1005401</v>
      </c>
      <c r="J177" s="19"/>
      <c r="K177" s="15">
        <v>482776</v>
      </c>
      <c r="L177" s="19"/>
      <c r="M177" s="19"/>
      <c r="N177" s="19"/>
      <c r="O177" s="19"/>
      <c r="P177" s="19"/>
      <c r="Q177" s="15">
        <v>1005401</v>
      </c>
      <c r="R177" s="19"/>
      <c r="S177" s="15">
        <v>482776</v>
      </c>
      <c r="AJ177" s="1">
        <v>123923</v>
      </c>
      <c r="AK177" s="1">
        <v>139759</v>
      </c>
      <c r="AL177" s="1">
        <v>135552</v>
      </c>
      <c r="AM177" s="1">
        <v>145498</v>
      </c>
      <c r="AN177" s="1">
        <v>56458</v>
      </c>
      <c r="AO177" s="1">
        <v>115332</v>
      </c>
      <c r="AP177" s="1">
        <v>18389</v>
      </c>
      <c r="AQ177" s="1">
        <v>43811</v>
      </c>
      <c r="AR177" s="1">
        <v>70664</v>
      </c>
      <c r="AS177" s="1">
        <v>68920</v>
      </c>
      <c r="AT177" s="1">
        <v>39294</v>
      </c>
      <c r="AU177" s="1">
        <v>47801</v>
      </c>
      <c r="AV177" s="1">
        <v>57918</v>
      </c>
      <c r="AW177" s="1">
        <v>88947</v>
      </c>
      <c r="AX177" s="1">
        <v>32698</v>
      </c>
      <c r="AY177" s="1">
        <v>78331</v>
      </c>
      <c r="AZ177" s="1">
        <v>9844</v>
      </c>
      <c r="BA177" s="1">
        <v>19756</v>
      </c>
      <c r="BB177" s="1">
        <v>9854</v>
      </c>
      <c r="BC177" s="1">
        <v>24048</v>
      </c>
      <c r="BD177" s="1">
        <v>18298</v>
      </c>
      <c r="BE177" s="1">
        <v>27374</v>
      </c>
      <c r="BF177" s="1">
        <v>15125</v>
      </c>
      <c r="BG177" s="1">
        <v>100583</v>
      </c>
    </row>
    <row r="178" spans="1:59" ht="15.75" customHeight="1" x14ac:dyDescent="0.2">
      <c r="B178" s="18"/>
      <c r="D178" s="18"/>
      <c r="I178" s="18"/>
      <c r="K178" s="18"/>
      <c r="Q178" s="18"/>
      <c r="S178" s="18"/>
    </row>
    <row r="179" spans="1:59" ht="15.75" customHeight="1" x14ac:dyDescent="0.2">
      <c r="B179" s="18">
        <f>+B123+B129+B135+B143+B147+B153+B155+B163+B165+B173+B177</f>
        <v>3369130</v>
      </c>
      <c r="D179" s="18">
        <f>+D123+D129+D135+D143+D147+D153+D155+D163+D165+D173+D177</f>
        <v>2663384</v>
      </c>
      <c r="H179" s="1" t="s">
        <v>39</v>
      </c>
      <c r="I179" s="18">
        <f>+I123+I129+I135+I143+I147+I153+I155+I163+I165+I173+I177</f>
        <v>29081626.760176197</v>
      </c>
      <c r="K179" s="18">
        <f>+K123+K129+K135+K143+K147+K153+K155+K163+K165+K173+K177</f>
        <v>27735619.934535004</v>
      </c>
      <c r="Q179" s="18">
        <f>+Q123+Q129+Q135+Q143+Q147+Q153+Q155+Q163+Q165+Q173+Q177</f>
        <v>29081627</v>
      </c>
      <c r="S179" s="18">
        <f>+S123+S129+S135+S143+S147+S153+S155+S163+S165+S173+S177</f>
        <v>27735620</v>
      </c>
    </row>
    <row r="180" spans="1:59" ht="15.75" customHeight="1" x14ac:dyDescent="0.2">
      <c r="B180" s="18"/>
      <c r="D180" s="18"/>
      <c r="I180" s="18"/>
      <c r="K180" s="18"/>
      <c r="Q180" s="18"/>
      <c r="S180" s="18"/>
    </row>
    <row r="181" spans="1:59" ht="15.75" customHeight="1" x14ac:dyDescent="0.2">
      <c r="B181" s="18"/>
      <c r="D181" s="18"/>
      <c r="I181" s="18"/>
      <c r="K181" s="18"/>
      <c r="Q181" s="18"/>
      <c r="S181" s="18"/>
    </row>
    <row r="182" spans="1:59" ht="15.75" customHeight="1" x14ac:dyDescent="0.2">
      <c r="A182" s="18" t="s">
        <v>119</v>
      </c>
      <c r="B182" s="11">
        <v>354085000</v>
      </c>
      <c r="C182" s="11"/>
      <c r="D182" s="11">
        <v>281458000</v>
      </c>
      <c r="E182" s="11"/>
      <c r="F182" s="11"/>
      <c r="G182" s="11"/>
      <c r="H182" s="11" t="s">
        <v>152</v>
      </c>
      <c r="I182" s="11">
        <v>2999710000</v>
      </c>
      <c r="J182" s="11"/>
      <c r="K182" s="11">
        <v>2886495000</v>
      </c>
      <c r="L182" s="11"/>
      <c r="M182" s="11"/>
      <c r="N182" s="11"/>
      <c r="O182" s="11"/>
      <c r="P182" s="11"/>
      <c r="Q182" s="11">
        <v>2999710000</v>
      </c>
      <c r="S182" s="18">
        <v>2886495000</v>
      </c>
      <c r="AJ182" s="1">
        <v>354085000</v>
      </c>
      <c r="AK182" s="1">
        <v>377750000</v>
      </c>
      <c r="AL182" s="1">
        <v>414383000</v>
      </c>
      <c r="AM182" s="1">
        <v>374804000</v>
      </c>
      <c r="AN182" s="1">
        <v>135567000</v>
      </c>
      <c r="AO182" s="1">
        <v>89649000</v>
      </c>
      <c r="AP182" s="1">
        <v>159205000</v>
      </c>
      <c r="AQ182" s="1">
        <v>263062000</v>
      </c>
      <c r="AR182" s="1">
        <v>292821000</v>
      </c>
      <c r="AS182" s="1">
        <v>149473000</v>
      </c>
      <c r="AT182" s="1">
        <v>188367000</v>
      </c>
      <c r="AU182" s="1">
        <v>200544000</v>
      </c>
      <c r="AV182" s="1">
        <v>281458000</v>
      </c>
      <c r="AW182" s="1">
        <v>330824000</v>
      </c>
      <c r="AX182" s="1">
        <v>338623000</v>
      </c>
      <c r="AY182" s="1">
        <v>255142000</v>
      </c>
      <c r="AZ182" s="1">
        <v>277011000</v>
      </c>
      <c r="BA182" s="1">
        <v>260364000</v>
      </c>
      <c r="BB182" s="1">
        <v>216866000</v>
      </c>
      <c r="BC182" s="1">
        <v>274237000</v>
      </c>
      <c r="BD182" s="1">
        <v>114174000</v>
      </c>
      <c r="BE182" s="1">
        <v>227879000</v>
      </c>
      <c r="BF182" s="1">
        <v>135786000</v>
      </c>
      <c r="BG182" s="1">
        <v>174131000</v>
      </c>
    </row>
    <row r="183" spans="1:59" ht="15.75" customHeight="1" x14ac:dyDescent="0.2">
      <c r="A183" s="18" t="s">
        <v>137</v>
      </c>
      <c r="B183" s="11">
        <v>29357000</v>
      </c>
      <c r="C183" s="11"/>
      <c r="D183" s="11">
        <v>25930000</v>
      </c>
      <c r="E183" s="11"/>
      <c r="F183" s="11"/>
      <c r="G183" s="11"/>
      <c r="H183" s="11" t="s">
        <v>154</v>
      </c>
      <c r="I183" s="11">
        <v>257759000</v>
      </c>
      <c r="J183" s="11"/>
      <c r="K183" s="11">
        <v>260280000</v>
      </c>
      <c r="L183" s="11"/>
      <c r="M183" s="11"/>
      <c r="N183" s="11"/>
      <c r="O183" s="11"/>
      <c r="P183" s="11"/>
      <c r="Q183" s="11">
        <v>257759000</v>
      </c>
      <c r="S183" s="18">
        <v>260280000</v>
      </c>
      <c r="AJ183" s="1">
        <v>29357000</v>
      </c>
      <c r="AK183" s="1">
        <v>30177000</v>
      </c>
      <c r="AL183" s="1">
        <v>32939000</v>
      </c>
      <c r="AM183" s="1">
        <v>30638000</v>
      </c>
      <c r="AN183" s="1">
        <v>13576000</v>
      </c>
      <c r="AO183" s="1">
        <v>6957000</v>
      </c>
      <c r="AP183" s="1">
        <v>16888000</v>
      </c>
      <c r="AQ183" s="1">
        <v>24633000</v>
      </c>
      <c r="AR183" s="1">
        <v>25658000</v>
      </c>
      <c r="AS183" s="1">
        <v>14480000</v>
      </c>
      <c r="AT183" s="1">
        <v>15421000</v>
      </c>
      <c r="AU183" s="1">
        <v>17035000</v>
      </c>
      <c r="AV183" s="1">
        <v>25930000</v>
      </c>
      <c r="AW183" s="1">
        <v>28072000</v>
      </c>
      <c r="AX183" s="1">
        <v>30184000</v>
      </c>
      <c r="AY183" s="1">
        <v>23059000</v>
      </c>
      <c r="AZ183" s="1">
        <v>27049000</v>
      </c>
      <c r="BA183" s="1">
        <v>23928000</v>
      </c>
      <c r="BB183" s="1">
        <v>22298000</v>
      </c>
      <c r="BC183" s="1">
        <v>23674000</v>
      </c>
      <c r="BD183" s="1">
        <v>10575000</v>
      </c>
      <c r="BE183" s="1">
        <v>20645000</v>
      </c>
      <c r="BF183" s="1">
        <v>13374000</v>
      </c>
      <c r="BG183" s="1">
        <v>11492000</v>
      </c>
    </row>
    <row r="184" spans="1:59" ht="15.75" customHeight="1" x14ac:dyDescent="0.2">
      <c r="A184" s="18" t="s">
        <v>153</v>
      </c>
      <c r="B184" s="11">
        <v>-78000</v>
      </c>
      <c r="C184" s="11"/>
      <c r="D184" s="11">
        <v>-142000</v>
      </c>
      <c r="E184" s="11"/>
      <c r="F184" s="11"/>
      <c r="G184" s="11"/>
      <c r="H184" s="11" t="s">
        <v>155</v>
      </c>
      <c r="I184" s="11">
        <v>-1101000</v>
      </c>
      <c r="J184" s="11"/>
      <c r="K184" s="11">
        <v>-280000</v>
      </c>
      <c r="L184" s="11"/>
      <c r="M184" s="11"/>
      <c r="N184" s="11"/>
      <c r="O184" s="11"/>
      <c r="P184" s="11"/>
      <c r="Q184" s="11">
        <v>-1101000</v>
      </c>
      <c r="S184" s="18">
        <v>-280000</v>
      </c>
      <c r="AJ184" s="1">
        <v>-78000</v>
      </c>
      <c r="AK184" s="1">
        <v>-100000</v>
      </c>
      <c r="AL184" s="1">
        <v>-105000</v>
      </c>
      <c r="AM184" s="1">
        <v>-51000</v>
      </c>
      <c r="AN184" s="1">
        <v>-69000</v>
      </c>
      <c r="AO184" s="1">
        <v>-74000</v>
      </c>
      <c r="AP184" s="1">
        <v>-123000</v>
      </c>
      <c r="AQ184" s="1">
        <v>-123000</v>
      </c>
      <c r="AR184" s="1">
        <v>-147000</v>
      </c>
      <c r="AS184" s="1">
        <v>-139000</v>
      </c>
      <c r="AT184" s="1">
        <v>-21000</v>
      </c>
      <c r="AU184" s="1">
        <v>-71000</v>
      </c>
      <c r="AV184" s="1">
        <v>-142000</v>
      </c>
      <c r="AW184" s="1">
        <v>-102000</v>
      </c>
      <c r="AX184" s="1">
        <v>-66000</v>
      </c>
      <c r="AY184" s="1">
        <v>-83000</v>
      </c>
      <c r="AZ184" s="1">
        <v>-101000</v>
      </c>
      <c r="BA184" s="1">
        <v>105000</v>
      </c>
      <c r="BB184" s="1">
        <v>21000</v>
      </c>
      <c r="BC184" s="1">
        <v>4000</v>
      </c>
      <c r="BD184" s="1">
        <v>10000</v>
      </c>
      <c r="BE184" s="1">
        <v>1000</v>
      </c>
      <c r="BF184" s="1">
        <v>34000</v>
      </c>
      <c r="BG184" s="1">
        <v>39000</v>
      </c>
    </row>
    <row r="185" spans="1:59" ht="15.75" customHeight="1" x14ac:dyDescent="0.2">
      <c r="B185" s="11">
        <f>+B182-B183+B184</f>
        <v>324650000</v>
      </c>
      <c r="C185" s="11"/>
      <c r="D185" s="11">
        <f>+D182-D183+D184</f>
        <v>255386000</v>
      </c>
      <c r="E185" s="11"/>
      <c r="F185" s="11">
        <f>+F182-F183+F184</f>
        <v>0</v>
      </c>
      <c r="G185" s="11"/>
      <c r="H185" s="11" t="s">
        <v>40</v>
      </c>
      <c r="I185" s="11">
        <f>+I182-I183+I184</f>
        <v>2740850000</v>
      </c>
      <c r="J185" s="11"/>
      <c r="K185" s="11">
        <f>+K182-K183+K184</f>
        <v>2625935000</v>
      </c>
      <c r="L185" s="11"/>
      <c r="M185" s="11">
        <f>+M182-M183+M184</f>
        <v>0</v>
      </c>
      <c r="N185" s="11"/>
      <c r="O185" s="11"/>
      <c r="P185" s="11"/>
      <c r="Q185" s="11">
        <f>+Q182-Q183+Q184</f>
        <v>2740850000</v>
      </c>
      <c r="S185" s="18">
        <f>+S182-S183+S184</f>
        <v>2625935000</v>
      </c>
    </row>
    <row r="186" spans="1:59" ht="15.75" customHeight="1" x14ac:dyDescent="0.2">
      <c r="B186" s="18"/>
      <c r="D186" s="18"/>
      <c r="I186" s="18"/>
      <c r="K186" s="18"/>
      <c r="Q186" s="18"/>
      <c r="S186" s="18"/>
    </row>
    <row r="187" spans="1:59" ht="15.75" customHeight="1" x14ac:dyDescent="0.2">
      <c r="B187" s="18"/>
      <c r="D187" s="18"/>
      <c r="I187" s="18"/>
      <c r="K187" s="18"/>
      <c r="Q187" s="18"/>
      <c r="S187" s="18"/>
    </row>
    <row r="188" spans="1:59" ht="15.75" customHeight="1" x14ac:dyDescent="0.2">
      <c r="B188" s="18"/>
    </row>
  </sheetData>
  <mergeCells count="5">
    <mergeCell ref="B6:F6"/>
    <mergeCell ref="Q6:U6"/>
    <mergeCell ref="I6:O6"/>
    <mergeCell ref="F2:Q2"/>
    <mergeCell ref="F3:Q3"/>
  </mergeCells>
  <phoneticPr fontId="0" type="noConversion"/>
  <printOptions horizontalCentered="1"/>
  <pageMargins left="0.5" right="0.5" top="0.75" bottom="1" header="0.5" footer="0.75"/>
  <pageSetup scale="51" firstPageNumber="46" fitToHeight="5" orientation="landscape" useFirstPageNumber="1" r:id="rId1"/>
  <headerFooter alignWithMargins="0">
    <oddFooter>&amp;L&amp;"Tahoma,Regular"&amp;12For Internal Use Only
See Accompanying Notes to Financial Statements&amp;R&amp;"Tahoma,Regular"&amp;12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48</vt:i4>
      </vt:variant>
    </vt:vector>
  </HeadingPairs>
  <TitlesOfParts>
    <vt:vector size="49" baseType="lpstr">
      <vt:lpstr>Sheet1</vt:lpstr>
      <vt:lpstr>ASD</vt:lpstr>
      <vt:lpstr>BTU_Gen_CM</vt:lpstr>
      <vt:lpstr>BTU_Gen_FYTD</vt:lpstr>
      <vt:lpstr>BTU_Gen_MO12_Chg_LY</vt:lpstr>
      <vt:lpstr>BTU_Gen_MO12_Chg_TY</vt:lpstr>
      <vt:lpstr>BTU_Gen_PYCM</vt:lpstr>
      <vt:lpstr>BTU_Gen_PYTD</vt:lpstr>
      <vt:lpstr>Cap_Trans_CM</vt:lpstr>
      <vt:lpstr>Cap_Trans_FYTD</vt:lpstr>
      <vt:lpstr>Cap_Trans_MO12_Chg_LY</vt:lpstr>
      <vt:lpstr>Cap_Trans_MO12_Chg_TY</vt:lpstr>
      <vt:lpstr>Cap_Trans_PYCM</vt:lpstr>
      <vt:lpstr>Cap_Trans_PYTD</vt:lpstr>
      <vt:lpstr>CDD_ACT_CM</vt:lpstr>
      <vt:lpstr>CDD_ACT_FYTD</vt:lpstr>
      <vt:lpstr>CDD_ACT_MO12_Chg_LY</vt:lpstr>
      <vt:lpstr>CDD_ACT_MO12_Chg_TY</vt:lpstr>
      <vt:lpstr>CDD_ACT_PYCM</vt:lpstr>
      <vt:lpstr>CDD_ACT_PYTD</vt:lpstr>
      <vt:lpstr>CDD_Norm_CM</vt:lpstr>
      <vt:lpstr>CDD_Norm_FYTD</vt:lpstr>
      <vt:lpstr>CDD_Norm_MO12_Chg_LY</vt:lpstr>
      <vt:lpstr>CDD_Norm_MO12_Chg_TY</vt:lpstr>
      <vt:lpstr>CDD_Norm_PYCM</vt:lpstr>
      <vt:lpstr>CDD_Norm_PYTD</vt:lpstr>
      <vt:lpstr>FACCOUNT_V036130</vt:lpstr>
      <vt:lpstr>Fiscal_Year</vt:lpstr>
      <vt:lpstr>FUEL_ADJ_RATE_CM</vt:lpstr>
      <vt:lpstr>Load_Fact_CM</vt:lpstr>
      <vt:lpstr>Load_Fact_FYTD</vt:lpstr>
      <vt:lpstr>Load_Fact_MO12_Chg_LY</vt:lpstr>
      <vt:lpstr>Load_Fact_MO12_Chg_TY</vt:lpstr>
      <vt:lpstr>Load_Fact_PYCM</vt:lpstr>
      <vt:lpstr>Load_Fact_PYTD</vt:lpstr>
      <vt:lpstr>Over_Under_CM</vt:lpstr>
      <vt:lpstr>Over_Under_FYTD</vt:lpstr>
      <vt:lpstr>Over_Under_MO12_Chg_LY</vt:lpstr>
      <vt:lpstr>Over_Under_MO12_Chg_TY</vt:lpstr>
      <vt:lpstr>Over_Under_PYCM</vt:lpstr>
      <vt:lpstr>Over_Under_PYTD</vt:lpstr>
      <vt:lpstr>PER</vt:lpstr>
      <vt:lpstr>Sheet1!Print_Area</vt:lpstr>
      <vt:lpstr>Tot_Cust_CM</vt:lpstr>
      <vt:lpstr>Tot_Cust_FYTD</vt:lpstr>
      <vt:lpstr>Tot_Cust_MO12_Chg_LY</vt:lpstr>
      <vt:lpstr>Tot_Cust_MO12_Chg_TY</vt:lpstr>
      <vt:lpstr>Tot_Cust_PYCM</vt:lpstr>
      <vt:lpstr>Tot_Cust_PYTD</vt:lpstr>
    </vt:vector>
  </TitlesOfParts>
  <Company>DataStudy,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DataStudy, Inc.</dc:creator>
  <cp:lastModifiedBy>Ross Wiseman</cp:lastModifiedBy>
  <cp:lastPrinted>2021-03-29T16:33:55Z</cp:lastPrinted>
  <dcterms:created xsi:type="dcterms:W3CDTF">1997-03-06T13:44:44Z</dcterms:created>
  <dcterms:modified xsi:type="dcterms:W3CDTF">2023-01-23T16:54:29Z</dcterms:modified>
</cp:coreProperties>
</file>